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480" windowHeight="11190" tabRatio="857"/>
  </bookViews>
  <sheets>
    <sheet name="RESUMO COMPOSICOES" sheetId="1" r:id="rId1"/>
    <sheet name="Composições Ruppel" sheetId="4" r:id="rId2"/>
    <sheet name="AUXILIAR" sheetId="12" r:id="rId3"/>
    <sheet name="EQUIP" sheetId="6" r:id="rId4"/>
    <sheet name="M.O." sheetId="5" r:id="rId5"/>
    <sheet name="MAT" sheetId="8" r:id="rId6"/>
    <sheet name="TRANS" sheetId="9" r:id="rId7"/>
    <sheet name="MAT_BET" sheetId="10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01_09_96" localSheetId="2">#REF!</definedName>
    <definedName name="_01_09_96" localSheetId="1">#REF!</definedName>
    <definedName name="_01_09_96" localSheetId="5">#REF!</definedName>
    <definedName name="_01_09_96" localSheetId="7">#REF!</definedName>
    <definedName name="_01_09_96" localSheetId="6">#REF!</definedName>
    <definedName name="_01_09_96">#REF!</definedName>
    <definedName name="_60001">TRANS!$C$4:$H$28</definedName>
    <definedName name="_act2" localSheetId="2">#REF!</definedName>
    <definedName name="_act2" localSheetId="1">#REF!</definedName>
    <definedName name="_act2" localSheetId="5">#REF!</definedName>
    <definedName name="_act2" localSheetId="7">#REF!</definedName>
    <definedName name="_act2" localSheetId="6">#REF!</definedName>
    <definedName name="_act2">#REF!</definedName>
    <definedName name="_PL1" localSheetId="2">#REF!</definedName>
    <definedName name="_PL1" localSheetId="1">#REF!</definedName>
    <definedName name="_PL1" localSheetId="5">#REF!</definedName>
    <definedName name="_PL1" localSheetId="7">#REF!</definedName>
    <definedName name="_PL1" localSheetId="6">#REF!</definedName>
    <definedName name="_PL1">#REF!</definedName>
    <definedName name="a" localSheetId="2">#REF!</definedName>
    <definedName name="a" localSheetId="1">#REF!</definedName>
    <definedName name="a" localSheetId="5">#REF!</definedName>
    <definedName name="a" localSheetId="7">#REF!</definedName>
    <definedName name="a" localSheetId="6">#REF!</definedName>
    <definedName name="a">#REF!</definedName>
    <definedName name="AA" localSheetId="2">AUXILIAR!AA</definedName>
    <definedName name="AA" localSheetId="1">'Composições Ruppel'!AA</definedName>
    <definedName name="AA" localSheetId="5">MAT!AA</definedName>
    <definedName name="AA" localSheetId="7">MAT_BET!AA</definedName>
    <definedName name="AA" localSheetId="6">TRANS!AA</definedName>
    <definedName name="AA">[0]!AA</definedName>
    <definedName name="aaaaa" localSheetId="2">#REF!</definedName>
    <definedName name="aaaaa" localSheetId="1">#REF!</definedName>
    <definedName name="aaaaa" localSheetId="5">#REF!</definedName>
    <definedName name="aaaaa" localSheetId="7">#REF!</definedName>
    <definedName name="aaaaa" localSheetId="6">#REF!</definedName>
    <definedName name="aaaaa">#REF!</definedName>
    <definedName name="act" localSheetId="2">#REF!</definedName>
    <definedName name="act" localSheetId="1">#REF!</definedName>
    <definedName name="act" localSheetId="5">#REF!</definedName>
    <definedName name="act" localSheetId="7">#REF!</definedName>
    <definedName name="act" localSheetId="6">#REF!</definedName>
    <definedName name="act">#REF!</definedName>
    <definedName name="ALTA">'[1]PRO-08'!#REF!</definedName>
    <definedName name="amarela" localSheetId="2">#REF!</definedName>
    <definedName name="amarela" localSheetId="1">#REF!</definedName>
    <definedName name="amarela" localSheetId="5">#REF!</definedName>
    <definedName name="amarela" localSheetId="7">#REF!</definedName>
    <definedName name="amarela" localSheetId="6">#REF!</definedName>
    <definedName name="amarela">#REF!</definedName>
    <definedName name="_xlnm.Print_Area" localSheetId="2">AUXILIAR!$D$2:$N$1273</definedName>
    <definedName name="_xlnm.Print_Area" localSheetId="1">'Composições Ruppel'!$D$2:$N$1739</definedName>
    <definedName name="_xlnm.Print_Area" localSheetId="3">EQUIP!$B$3:$H$66</definedName>
    <definedName name="_xlnm.Print_Area" localSheetId="4">M.O.!$B$2:$I$13</definedName>
    <definedName name="_xlnm.Print_Area" localSheetId="5">MAT!$B$2:$I$66</definedName>
    <definedName name="_xlnm.Print_Area" localSheetId="7">MAT_BET!$B$2:$H$22</definedName>
    <definedName name="_xlnm.Print_Area" localSheetId="0">'RESUMO COMPOSICOES'!$A$2:$E$57</definedName>
    <definedName name="_xlnm.Print_Area" localSheetId="6">TRANS!$C$2:$H$28</definedName>
    <definedName name="AS" localSheetId="2">'[2]1.5-Sinalização-T.Inic'!$B$7:$U$332</definedName>
    <definedName name="AS" localSheetId="1">'[2]1.5-Sinalização-T.Inic'!$B$7:$U$332</definedName>
    <definedName name="AS" localSheetId="5">'[2]1.5-Sinalização-T.Inic'!$B$7:$U$332</definedName>
    <definedName name="AS" localSheetId="7">'[2]1.5-Sinalização-T.Inic'!$B$7:$U$332</definedName>
    <definedName name="AS" localSheetId="6">'[2]1.5-Sinalização-T.Inic'!$B$7:$U$332</definedName>
    <definedName name="azul" localSheetId="2">#REF!</definedName>
    <definedName name="azul" localSheetId="1">#REF!</definedName>
    <definedName name="azul" localSheetId="5">#REF!</definedName>
    <definedName name="azul" localSheetId="7">#REF!</definedName>
    <definedName name="azul" localSheetId="6">#REF!</definedName>
    <definedName name="azul">#REF!</definedName>
    <definedName name="AZULSINAL" localSheetId="2">#REF!</definedName>
    <definedName name="AZULSINAL" localSheetId="1">#REF!</definedName>
    <definedName name="AZULSINAL" localSheetId="5">#REF!</definedName>
    <definedName name="AZULSINAL" localSheetId="7">#REF!</definedName>
    <definedName name="AZULSINAL" localSheetId="6">#REF!</definedName>
    <definedName name="AZULSINAL">#REF!</definedName>
    <definedName name="_xlnm.Database" localSheetId="2">#REF!</definedName>
    <definedName name="_xlnm.Database" localSheetId="1">#REF!</definedName>
    <definedName name="_xlnm.Database" localSheetId="5">#REF!</definedName>
    <definedName name="_xlnm.Database" localSheetId="7">#REF!</definedName>
    <definedName name="_xlnm.Database" localSheetId="6">#REF!</definedName>
    <definedName name="_xlnm.Database">#REF!</definedName>
    <definedName name="BDI" localSheetId="2">#REF!</definedName>
    <definedName name="BDI" localSheetId="1">#REF!</definedName>
    <definedName name="BDI" localSheetId="5">#REF!</definedName>
    <definedName name="BDI" localSheetId="7">#REF!</definedName>
    <definedName name="BDI" localSheetId="6">#REF!</definedName>
    <definedName name="BDI">#REF!</definedName>
    <definedName name="BG" localSheetId="2">#REF!</definedName>
    <definedName name="BG" localSheetId="1">#REF!</definedName>
    <definedName name="BG" localSheetId="5">#REF!</definedName>
    <definedName name="BG" localSheetId="7">#REF!</definedName>
    <definedName name="BG" localSheetId="6">#REF!</definedName>
    <definedName name="BG">#REF!</definedName>
    <definedName name="BGU" localSheetId="2">#REF!</definedName>
    <definedName name="BGU" localSheetId="1">#REF!</definedName>
    <definedName name="BGU" localSheetId="5">#REF!</definedName>
    <definedName name="BGU" localSheetId="7">#REF!</definedName>
    <definedName name="BGU" localSheetId="6">#REF!</definedName>
    <definedName name="BGU">#REF!</definedName>
    <definedName name="cant" localSheetId="2">#REF!</definedName>
    <definedName name="cant" localSheetId="1">#REF!</definedName>
    <definedName name="cant" localSheetId="5">#REF!</definedName>
    <definedName name="cant" localSheetId="7">#REF!</definedName>
    <definedName name="cant" localSheetId="6">#REF!</definedName>
    <definedName name="cant">#REF!</definedName>
    <definedName name="CANT2" localSheetId="2">#REF!</definedName>
    <definedName name="CANT2" localSheetId="1">#REF!</definedName>
    <definedName name="CANT2" localSheetId="5">#REF!</definedName>
    <definedName name="CANT2" localSheetId="7">#REF!</definedName>
    <definedName name="CANT2" localSheetId="6">#REF!</definedName>
    <definedName name="CANT2">#REF!</definedName>
    <definedName name="canteiro" localSheetId="2">#REF!</definedName>
    <definedName name="canteiro" localSheetId="1">#REF!</definedName>
    <definedName name="canteiro" localSheetId="5">#REF!</definedName>
    <definedName name="canteiro" localSheetId="7">#REF!</definedName>
    <definedName name="canteiro" localSheetId="6">#REF!</definedName>
    <definedName name="canteiro">#REF!</definedName>
    <definedName name="CBU" localSheetId="2">#REF!</definedName>
    <definedName name="CBU" localSheetId="1">#REF!</definedName>
    <definedName name="CBU" localSheetId="5">#REF!</definedName>
    <definedName name="CBU" localSheetId="7">#REF!</definedName>
    <definedName name="CBU" localSheetId="6">#REF!</definedName>
    <definedName name="CBU">#REF!</definedName>
    <definedName name="CBUII" localSheetId="2">#REF!</definedName>
    <definedName name="CBUII" localSheetId="1">#REF!</definedName>
    <definedName name="CBUII" localSheetId="5">#REF!</definedName>
    <definedName name="CBUII" localSheetId="7">#REF!</definedName>
    <definedName name="CBUII" localSheetId="6">#REF!</definedName>
    <definedName name="CBUII">#REF!</definedName>
    <definedName name="CBUQB" localSheetId="2">#REF!</definedName>
    <definedName name="CBUQB" localSheetId="1">#REF!</definedName>
    <definedName name="CBUQB" localSheetId="5">#REF!</definedName>
    <definedName name="CBUQB" localSheetId="7">#REF!</definedName>
    <definedName name="CBUQB" localSheetId="6">#REF!</definedName>
    <definedName name="CBUQB">#REF!</definedName>
    <definedName name="CBUQc" localSheetId="2">#REF!</definedName>
    <definedName name="CBUQc" localSheetId="1">#REF!</definedName>
    <definedName name="CBUQc" localSheetId="5">#REF!</definedName>
    <definedName name="CBUQc" localSheetId="7">#REF!</definedName>
    <definedName name="CBUQc" localSheetId="6">#REF!</definedName>
    <definedName name="CBUQc">#REF!</definedName>
    <definedName name="comb">[3]Premissas!$E$13:$F$16</definedName>
    <definedName name="comb1">[3]Premissas!$E$17:$F$20</definedName>
    <definedName name="Composição" localSheetId="2">AUXILIAR!$B$2:$U$1056</definedName>
    <definedName name="Composição" localSheetId="5">MAT!$B$3:$H$63</definedName>
    <definedName name="Composição" localSheetId="7">MAT_BET!$C$3:$H$20</definedName>
    <definedName name="Composição" localSheetId="6">TRANS!$D$3:$H$28</definedName>
    <definedName name="Composição">'Composições Ruppel'!$B$6:$N$1739</definedName>
    <definedName name="cont" localSheetId="2">#REF!</definedName>
    <definedName name="cont" localSheetId="1">#REF!</definedName>
    <definedName name="cont" localSheetId="5">#REF!</definedName>
    <definedName name="cont" localSheetId="7">#REF!</definedName>
    <definedName name="cont" localSheetId="6">#REF!</definedName>
    <definedName name="cont">#REF!</definedName>
    <definedName name="d" localSheetId="2">#REF!</definedName>
    <definedName name="d" localSheetId="1">#REF!</definedName>
    <definedName name="d" localSheetId="5">#REF!</definedName>
    <definedName name="d" localSheetId="7">#REF!</definedName>
    <definedName name="d" localSheetId="6">#REF!</definedName>
    <definedName name="d">#REF!</definedName>
    <definedName name="DATA">'RESUMO COMPOSICOES'!$B$3</definedName>
    <definedName name="Data_Final" localSheetId="2">#REF!</definedName>
    <definedName name="Data_Final" localSheetId="1">#REF!</definedName>
    <definedName name="Data_Final" localSheetId="5">#REF!</definedName>
    <definedName name="Data_Final" localSheetId="7">#REF!</definedName>
    <definedName name="Data_Final" localSheetId="6">#REF!</definedName>
    <definedName name="Data_Final">#REF!</definedName>
    <definedName name="Data_Início" localSheetId="2">#REF!</definedName>
    <definedName name="Data_Início" localSheetId="1">#REF!</definedName>
    <definedName name="Data_Início" localSheetId="5">#REF!</definedName>
    <definedName name="Data_Início" localSheetId="7">#REF!</definedName>
    <definedName name="Data_Início" localSheetId="6">#REF!</definedName>
    <definedName name="Data_Início">#REF!</definedName>
    <definedName name="DGA">'[1]PRO-08'!#REF!</definedName>
    <definedName name="DI">'RESUMO COMPOSICOES'!$E$3</definedName>
    <definedName name="disp" localSheetId="2">#REF!</definedName>
    <definedName name="disp" localSheetId="1">#REF!</definedName>
    <definedName name="disp" localSheetId="5">#REF!</definedName>
    <definedName name="disp" localSheetId="7">#REF!</definedName>
    <definedName name="disp" localSheetId="6">#REF!</definedName>
    <definedName name="disp">#REF!</definedName>
    <definedName name="DJ" localSheetId="2">#REF!</definedName>
    <definedName name="DJ" localSheetId="1">#REF!</definedName>
    <definedName name="DJ" localSheetId="5">#REF!</definedName>
    <definedName name="DJ" localSheetId="7">#REF!</definedName>
    <definedName name="DJ" localSheetId="6">#REF!</definedName>
    <definedName name="DJ">#REF!</definedName>
    <definedName name="dren" localSheetId="2">#REF!</definedName>
    <definedName name="dren" localSheetId="1">#REF!</definedName>
    <definedName name="dren" localSheetId="5">#REF!</definedName>
    <definedName name="dren" localSheetId="7">#REF!</definedName>
    <definedName name="dren" localSheetId="6">#REF!</definedName>
    <definedName name="dren">#REF!</definedName>
    <definedName name="ECJ" localSheetId="2">#REF!</definedName>
    <definedName name="ECJ" localSheetId="1">#REF!</definedName>
    <definedName name="ECJ" localSheetId="5">#REF!</definedName>
    <definedName name="ECJ" localSheetId="7">#REF!</definedName>
    <definedName name="ECJ" localSheetId="6">#REF!</definedName>
    <definedName name="ECJ">#REF!</definedName>
    <definedName name="EJ" localSheetId="2">#REF!</definedName>
    <definedName name="EJ" localSheetId="1">#REF!</definedName>
    <definedName name="EJ" localSheetId="5">#REF!</definedName>
    <definedName name="EJ" localSheetId="7">#REF!</definedName>
    <definedName name="EJ" localSheetId="6">#REF!</definedName>
    <definedName name="EJ">#REF!</definedName>
    <definedName name="EQUIP">EQUIP!$B$7:$H$66</definedName>
    <definedName name="EXA">'[1]PRO-08'!#REF!</definedName>
    <definedName name="Extenso" localSheetId="2">AUXILIAR!Extenso</definedName>
    <definedName name="Extenso" localSheetId="1">'Composições Ruppel'!Extenso</definedName>
    <definedName name="Extenso" localSheetId="5">MAT!Extenso</definedName>
    <definedName name="Extenso" localSheetId="7">MAT_BET!Extenso</definedName>
    <definedName name="Extenso" localSheetId="6">TRANS!Extenso</definedName>
    <definedName name="Extenso">[0]!Extenso</definedName>
    <definedName name="fc1a">'[1]PRO-08'!#REF!</definedName>
    <definedName name="FC2A">'[1]PRO-08'!#REF!</definedName>
    <definedName name="FC3A">'[1]PRO-08'!#REF!</definedName>
    <definedName name="hi" localSheetId="2">#REF!</definedName>
    <definedName name="hi" localSheetId="1">#REF!</definedName>
    <definedName name="hi" localSheetId="5">#REF!</definedName>
    <definedName name="hi" localSheetId="7">#REF!</definedName>
    <definedName name="hi" localSheetId="6">#REF!</definedName>
    <definedName name="hi">#REF!</definedName>
    <definedName name="IM" localSheetId="2">#REF!</definedName>
    <definedName name="IM" localSheetId="1">#REF!</definedName>
    <definedName name="IM" localSheetId="5">#REF!</definedName>
    <definedName name="IM" localSheetId="7">#REF!</definedName>
    <definedName name="IM" localSheetId="6">#REF!</definedName>
    <definedName name="IM">#REF!</definedName>
    <definedName name="LILASDRENA" localSheetId="2">#REF!</definedName>
    <definedName name="LILASDRENA" localSheetId="1">#REF!</definedName>
    <definedName name="LILASDRENA" localSheetId="5">#REF!</definedName>
    <definedName name="LILASDRENA" localSheetId="7">#REF!</definedName>
    <definedName name="LILASDRENA" localSheetId="6">#REF!</definedName>
    <definedName name="LILASDRENA">#REF!</definedName>
    <definedName name="MAT">MAT!$B$4:$G$67</definedName>
    <definedName name="MAT_BET">MAT_BET!$B$4:$F$20</definedName>
    <definedName name="Medição" localSheetId="2">#REF!</definedName>
    <definedName name="Medição" localSheetId="1">#REF!</definedName>
    <definedName name="Medição" localSheetId="5">#REF!</definedName>
    <definedName name="Medição" localSheetId="7">#REF!</definedName>
    <definedName name="Medição" localSheetId="6">#REF!</definedName>
    <definedName name="Medição">#REF!</definedName>
    <definedName name="MO">M.O.!$B$5:$G$13</definedName>
    <definedName name="módulo1.Extenso" localSheetId="2">AUXILIAR!módulo1.Extenso</definedName>
    <definedName name="módulo1.Extenso" localSheetId="1">'Composições Ruppel'!módulo1.Extenso</definedName>
    <definedName name="módulo1.Extenso" localSheetId="5">MAT!módulo1.Extenso</definedName>
    <definedName name="módulo1.Extenso" localSheetId="7">MAT_BET!módulo1.Extenso</definedName>
    <definedName name="módulo1.Extenso" localSheetId="6">TRANS!módulo1.Extenso</definedName>
    <definedName name="módulo1.Extenso">[0]!módulo1.Extenso</definedName>
    <definedName name="NTEI">'[1]PRO-08'!#REF!</definedName>
    <definedName name="oae" localSheetId="2">#REF!</definedName>
    <definedName name="oae" localSheetId="1">#REF!</definedName>
    <definedName name="oae" localSheetId="5">#REF!</definedName>
    <definedName name="oae" localSheetId="7">#REF!</definedName>
    <definedName name="oae" localSheetId="6">#REF!</definedName>
    <definedName name="oae">#REF!</definedName>
    <definedName name="OPA">'[1]PRO-08'!#REF!</definedName>
    <definedName name="PassaExtenso">[4]!PassaExtenso</definedName>
    <definedName name="pav" localSheetId="2">#REF!</definedName>
    <definedName name="pav" localSheetId="1">#REF!</definedName>
    <definedName name="pav" localSheetId="5">#REF!</definedName>
    <definedName name="pav" localSheetId="7">#REF!</definedName>
    <definedName name="pav" localSheetId="6">#REF!</definedName>
    <definedName name="pav">#REF!</definedName>
    <definedName name="pesquisa" localSheetId="2">#REF!</definedName>
    <definedName name="pesquisa" localSheetId="1">#REF!</definedName>
    <definedName name="pesquisa" localSheetId="5">#REF!</definedName>
    <definedName name="pesquisa" localSheetId="7">#REF!</definedName>
    <definedName name="pesquisa" localSheetId="6">#REF!</definedName>
    <definedName name="pesquisa">#REF!</definedName>
    <definedName name="PL" localSheetId="2">#REF!</definedName>
    <definedName name="PL" localSheetId="1">#REF!</definedName>
    <definedName name="PL" localSheetId="5">#REF!</definedName>
    <definedName name="PL" localSheetId="7">#REF!</definedName>
    <definedName name="PL" localSheetId="6">#REF!</definedName>
    <definedName name="PL">#REF!</definedName>
    <definedName name="Ponte" localSheetId="2">AUXILIAR!Ponte</definedName>
    <definedName name="Ponte" localSheetId="1">'Composições Ruppel'!Ponte</definedName>
    <definedName name="Ponte" localSheetId="5">MAT!Ponte</definedName>
    <definedName name="Ponte" localSheetId="7">MAT_BET!Ponte</definedName>
    <definedName name="Ponte" localSheetId="6">TRANS!Ponte</definedName>
    <definedName name="Ponte">[0]!Ponte</definedName>
    <definedName name="QQ_2" localSheetId="2">AUXILIAR!QQ_2</definedName>
    <definedName name="QQ_2" localSheetId="1">'Composições Ruppel'!QQ_2</definedName>
    <definedName name="QQ_2" localSheetId="5">MAT!QQ_2</definedName>
    <definedName name="QQ_2" localSheetId="7">MAT_BET!QQ_2</definedName>
    <definedName name="QQ_2" localSheetId="6">TRANS!QQ_2</definedName>
    <definedName name="QQ_2">[0]!QQ_2</definedName>
    <definedName name="RBV">[5]Teor!$C$3:$C$7</definedName>
    <definedName name="REG" localSheetId="2">#REF!</definedName>
    <definedName name="REG" localSheetId="1">#REF!</definedName>
    <definedName name="REG" localSheetId="5">#REF!</definedName>
    <definedName name="REG" localSheetId="7">#REF!</definedName>
    <definedName name="REG" localSheetId="6">#REF!</definedName>
    <definedName name="REG">#REF!</definedName>
    <definedName name="REGULA" localSheetId="2">#REF!</definedName>
    <definedName name="REGULA" localSheetId="1">#REF!</definedName>
    <definedName name="REGULA" localSheetId="5">#REF!</definedName>
    <definedName name="REGULA" localSheetId="7">#REF!</definedName>
    <definedName name="REGULA" localSheetId="6">#REF!</definedName>
    <definedName name="REGULA">#REF!</definedName>
    <definedName name="RESUMO" localSheetId="2">AUXILIAR!RESUMO</definedName>
    <definedName name="RESUMO" localSheetId="1">'Composições Ruppel'!RESUMO</definedName>
    <definedName name="RESUMO" localSheetId="5">MAT!RESUMO</definedName>
    <definedName name="RESUMO" localSheetId="7">MAT_BET!RESUMO</definedName>
    <definedName name="RESUMO" localSheetId="6">TRANS!RESUMO</definedName>
    <definedName name="RESUMO">[0]!RESUMO</definedName>
    <definedName name="Resumo_Composições">'RESUMO COMPOSICOES'!$A$21:$D$55</definedName>
    <definedName name="rigido" localSheetId="2">#REF!</definedName>
    <definedName name="rigido" localSheetId="1">#REF!</definedName>
    <definedName name="rigido" localSheetId="5">#REF!</definedName>
    <definedName name="rigido" localSheetId="7">#REF!</definedName>
    <definedName name="rigido" localSheetId="6">#REF!</definedName>
    <definedName name="rigido">#REF!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MA">'[1]PRO-08'!#REF!</definedName>
    <definedName name="RS" localSheetId="2">#REF!</definedName>
    <definedName name="RS" localSheetId="1">#REF!</definedName>
    <definedName name="RS" localSheetId="5">#REF!</definedName>
    <definedName name="RS" localSheetId="7">#REF!</definedName>
    <definedName name="RS" localSheetId="6">#REF!</definedName>
    <definedName name="RS">#REF!</definedName>
    <definedName name="sa" localSheetId="2">#REF!</definedName>
    <definedName name="sa" localSheetId="1">#REF!</definedName>
    <definedName name="sa" localSheetId="5">#REF!</definedName>
    <definedName name="sa" localSheetId="7">#REF!</definedName>
    <definedName name="sa" localSheetId="6">#REF!</definedName>
    <definedName name="sa">#REF!</definedName>
    <definedName name="sbg" localSheetId="2">#REF!</definedName>
    <definedName name="sbg" localSheetId="1">#REF!</definedName>
    <definedName name="sbg" localSheetId="5">#REF!</definedName>
    <definedName name="sbg" localSheetId="7">#REF!</definedName>
    <definedName name="sbg" localSheetId="6">#REF!</definedName>
    <definedName name="sbg">#REF!</definedName>
    <definedName name="SBTC" localSheetId="2">#REF!</definedName>
    <definedName name="SBTC" localSheetId="1">#REF!</definedName>
    <definedName name="SBTC" localSheetId="5">#REF!</definedName>
    <definedName name="SBTC" localSheetId="7">#REF!</definedName>
    <definedName name="SBTC" localSheetId="6">#REF!</definedName>
    <definedName name="SBTC">#REF!</definedName>
    <definedName name="secao" localSheetId="2">#REF!</definedName>
    <definedName name="secao" localSheetId="1">#REF!</definedName>
    <definedName name="secao" localSheetId="5">#REF!</definedName>
    <definedName name="secao" localSheetId="7">#REF!</definedName>
    <definedName name="secao" localSheetId="6">#REF!</definedName>
    <definedName name="secao">#REF!</definedName>
    <definedName name="sin" localSheetId="2">#REF!</definedName>
    <definedName name="sin" localSheetId="1">#REF!</definedName>
    <definedName name="sin" localSheetId="5">#REF!</definedName>
    <definedName name="sin" localSheetId="7">#REF!</definedName>
    <definedName name="sin" localSheetId="6">#REF!</definedName>
    <definedName name="sin">#REF!</definedName>
    <definedName name="talud" localSheetId="2">#REF!</definedName>
    <definedName name="talud" localSheetId="1">#REF!</definedName>
    <definedName name="talud" localSheetId="5">#REF!</definedName>
    <definedName name="talud" localSheetId="7">#REF!</definedName>
    <definedName name="talud" localSheetId="6">#REF!</definedName>
    <definedName name="talud">#REF!</definedName>
    <definedName name="Teor">[5]Teor!$A$3:$A$7</definedName>
    <definedName name="terra" localSheetId="2">#REF!</definedName>
    <definedName name="terra" localSheetId="1">#REF!</definedName>
    <definedName name="terra" localSheetId="5">#REF!</definedName>
    <definedName name="terra" localSheetId="7">#REF!</definedName>
    <definedName name="terra" localSheetId="6">#REF!</definedName>
    <definedName name="terra">#REF!</definedName>
    <definedName name="_xlnm.Print_Titles" localSheetId="2">AUXILIAR!#REF!</definedName>
    <definedName name="_xlnm.Print_Titles" localSheetId="1">'Composições Ruppel'!$2:$4</definedName>
    <definedName name="_xlnm.Print_Titles" localSheetId="3">EQUIP!$3:$6</definedName>
    <definedName name="_xlnm.Print_Titles" localSheetId="7">MAT_BET!$2:$2</definedName>
    <definedName name="_xlnm.Print_Titles" localSheetId="6">TRANS!$2:$2</definedName>
    <definedName name="TPM" localSheetId="2">#REF!</definedName>
    <definedName name="TPM" localSheetId="1">#REF!</definedName>
    <definedName name="TPM" localSheetId="5">#REF!</definedName>
    <definedName name="TPM" localSheetId="7">#REF!</definedName>
    <definedName name="TPM" localSheetId="6">#REF!</definedName>
    <definedName name="TPM">#REF!</definedName>
    <definedName name="TRANS">TRANS!$C$4:$H$28</definedName>
    <definedName name="Vazios">[5]Teor!$B$3:$B$7</definedName>
    <definedName name="verde" localSheetId="2">#REF!</definedName>
    <definedName name="verde" localSheetId="1">#REF!</definedName>
    <definedName name="verde" localSheetId="5">#REF!</definedName>
    <definedName name="verde" localSheetId="7">#REF!</definedName>
    <definedName name="verde" localSheetId="6">#REF!</definedName>
    <definedName name="verde">#REF!</definedName>
    <definedName name="verdepav" localSheetId="2">#REF!</definedName>
    <definedName name="verdepav" localSheetId="1">#REF!</definedName>
    <definedName name="verdepav" localSheetId="5">#REF!</definedName>
    <definedName name="verdepav" localSheetId="7">#REF!</definedName>
    <definedName name="verdepav" localSheetId="6">#REF!</definedName>
    <definedName name="verdepav">#REF!</definedName>
    <definedName name="WEWRWR" localSheetId="2">AUXILIAR!WEWRWR</definedName>
    <definedName name="WEWRWR" localSheetId="1">'Composições Ruppel'!WEWRWR</definedName>
    <definedName name="WEWRWR" localSheetId="5">MAT!WEWRWR</definedName>
    <definedName name="WEWRWR" localSheetId="7">MAT_BET!WEWRWR</definedName>
    <definedName name="WEWRWR" localSheetId="6">TRANS!WEWRWR</definedName>
    <definedName name="WEWRWR">[0]!WEWRWR</definedName>
    <definedName name="x">[5]Equipamentos!#REF!</definedName>
    <definedName name="XXX" localSheetId="2">AUXILIAR!XXX</definedName>
    <definedName name="XXX" localSheetId="1">'Composições Ruppel'!XXX</definedName>
    <definedName name="XXX" localSheetId="5">MAT!XXX</definedName>
    <definedName name="XXX" localSheetId="7">MAT_BET!XXX</definedName>
    <definedName name="XXX" localSheetId="6">TRANS!XXX</definedName>
    <definedName name="XXX">[0]!XXX</definedName>
  </definedNames>
  <calcPr calcId="125725" calcMode="manual"/>
</workbook>
</file>

<file path=xl/calcChain.xml><?xml version="1.0" encoding="utf-8"?>
<calcChain xmlns="http://schemas.openxmlformats.org/spreadsheetml/2006/main">
  <c r="F16" i="10"/>
  <c r="K26" i="9" l="1"/>
  <c r="K25"/>
  <c r="K24"/>
  <c r="K22"/>
  <c r="K19"/>
  <c r="K17"/>
  <c r="K12"/>
  <c r="K13"/>
  <c r="K11"/>
  <c r="L5"/>
  <c r="L689" i="4"/>
  <c r="N689" s="1"/>
  <c r="L323"/>
  <c r="N323" s="1"/>
  <c r="L1258" i="12"/>
  <c r="N1258" s="1"/>
  <c r="L28" i="4"/>
  <c r="L26" i="12"/>
  <c r="N26" s="1"/>
  <c r="L68"/>
  <c r="N68" s="1"/>
  <c r="L108"/>
  <c r="N108" s="1"/>
  <c r="L737"/>
  <c r="N737" s="1"/>
  <c r="L949"/>
  <c r="N949" s="1"/>
  <c r="L903"/>
  <c r="N903" s="1"/>
  <c r="L953"/>
  <c r="N953" s="1"/>
  <c r="L955"/>
  <c r="N955" s="1"/>
  <c r="L957"/>
  <c r="N957" s="1"/>
  <c r="L1724" i="4"/>
  <c r="N1724" s="1"/>
  <c r="L688"/>
  <c r="N688" s="1"/>
  <c r="L1723"/>
  <c r="N1723" s="1"/>
  <c r="L1725"/>
  <c r="N1725" s="1"/>
  <c r="E1730"/>
  <c r="L1730" s="1"/>
  <c r="N1730" s="1"/>
  <c r="N1732" s="1"/>
  <c r="M1736"/>
  <c r="L738" i="12"/>
  <c r="N738" s="1"/>
  <c r="L739"/>
  <c r="N739" s="1"/>
  <c r="E744"/>
  <c r="L744" s="1"/>
  <c r="N744" s="1"/>
  <c r="N746" s="1"/>
  <c r="L780"/>
  <c r="N780" s="1"/>
  <c r="L781"/>
  <c r="N781" s="1"/>
  <c r="E786"/>
  <c r="L786" s="1"/>
  <c r="N786" s="1"/>
  <c r="N788" s="1"/>
  <c r="E1686" i="4"/>
  <c r="L1686" s="1"/>
  <c r="N1686" s="1"/>
  <c r="E1687"/>
  <c r="L1687" s="1"/>
  <c r="N1687" s="1"/>
  <c r="M1693"/>
  <c r="E1646"/>
  <c r="L1646" s="1"/>
  <c r="N1646" s="1"/>
  <c r="E1647"/>
  <c r="L1647" s="1"/>
  <c r="N1647" s="1"/>
  <c r="M1653"/>
  <c r="L27" i="12"/>
  <c r="N27" s="1"/>
  <c r="L28"/>
  <c r="N28" s="1"/>
  <c r="E33"/>
  <c r="L33" s="1"/>
  <c r="N33" s="1"/>
  <c r="N35" s="1"/>
  <c r="E1606" i="4"/>
  <c r="I1606"/>
  <c r="E1607"/>
  <c r="L1607" s="1"/>
  <c r="N1607" s="1"/>
  <c r="M1613"/>
  <c r="L1544"/>
  <c r="N1544" s="1"/>
  <c r="L901" i="12"/>
  <c r="N901" s="1"/>
  <c r="L902"/>
  <c r="N902" s="1"/>
  <c r="L904"/>
  <c r="N904" s="1"/>
  <c r="L905"/>
  <c r="N905" s="1"/>
  <c r="L906"/>
  <c r="N906" s="1"/>
  <c r="L907"/>
  <c r="N907" s="1"/>
  <c r="E914"/>
  <c r="L914" s="1"/>
  <c r="N914" s="1"/>
  <c r="N916" s="1"/>
  <c r="L295"/>
  <c r="N295" s="1"/>
  <c r="L296"/>
  <c r="N296" s="1"/>
  <c r="E301"/>
  <c r="L301" s="1"/>
  <c r="N301" s="1"/>
  <c r="N303" s="1"/>
  <c r="L1546" i="4"/>
  <c r="N1546" s="1"/>
  <c r="L1547"/>
  <c r="N1547" s="1"/>
  <c r="E1552"/>
  <c r="I1552"/>
  <c r="E1553"/>
  <c r="I1553"/>
  <c r="L1563"/>
  <c r="L1038" i="12"/>
  <c r="N1038" s="1"/>
  <c r="L1039"/>
  <c r="N1039" s="1"/>
  <c r="E1045"/>
  <c r="L1045" s="1"/>
  <c r="N1045" s="1"/>
  <c r="E1046"/>
  <c r="L1046" s="1"/>
  <c r="N1046" s="1"/>
  <c r="E1047"/>
  <c r="L1047" s="1"/>
  <c r="N1047" s="1"/>
  <c r="L695"/>
  <c r="N695" s="1"/>
  <c r="L696"/>
  <c r="N696" s="1"/>
  <c r="L697"/>
  <c r="N697" s="1"/>
  <c r="E702"/>
  <c r="L702" s="1"/>
  <c r="N702" s="1"/>
  <c r="N704" s="1"/>
  <c r="E1508" i="4"/>
  <c r="L1508" s="1"/>
  <c r="N1508" s="1"/>
  <c r="E1509"/>
  <c r="L1509" s="1"/>
  <c r="N1509" s="1"/>
  <c r="M1515"/>
  <c r="E1453"/>
  <c r="I1453"/>
  <c r="E1454"/>
  <c r="L1454" s="1"/>
  <c r="N1454" s="1"/>
  <c r="E1455"/>
  <c r="L1455" s="1"/>
  <c r="N1455" s="1"/>
  <c r="L1446"/>
  <c r="N1446" s="1"/>
  <c r="L1447"/>
  <c r="N1447" s="1"/>
  <c r="L1448"/>
  <c r="N1448" s="1"/>
  <c r="L1475"/>
  <c r="L67" i="12"/>
  <c r="N67" s="1"/>
  <c r="L69"/>
  <c r="N69" s="1"/>
  <c r="E74"/>
  <c r="L74" s="1"/>
  <c r="N74" s="1"/>
  <c r="N76" s="1"/>
  <c r="E865"/>
  <c r="L865" s="1"/>
  <c r="N865" s="1"/>
  <c r="E866"/>
  <c r="L866" s="1"/>
  <c r="N866" s="1"/>
  <c r="E867"/>
  <c r="L867" s="1"/>
  <c r="N867" s="1"/>
  <c r="E825"/>
  <c r="L825" s="1"/>
  <c r="N825" s="1"/>
  <c r="L1406" i="4"/>
  <c r="N1406" s="1"/>
  <c r="E1412"/>
  <c r="I1412"/>
  <c r="E1413"/>
  <c r="I1413"/>
  <c r="M1419"/>
  <c r="L490" i="12"/>
  <c r="N490" s="1"/>
  <c r="L491"/>
  <c r="N491" s="1"/>
  <c r="L492"/>
  <c r="N492" s="1"/>
  <c r="E497"/>
  <c r="L497" s="1"/>
  <c r="N497" s="1"/>
  <c r="N499" s="1"/>
  <c r="L1081"/>
  <c r="N1081" s="1"/>
  <c r="L1082"/>
  <c r="N1082" s="1"/>
  <c r="L1083"/>
  <c r="N1083" s="1"/>
  <c r="E1088"/>
  <c r="L1088" s="1"/>
  <c r="N1088" s="1"/>
  <c r="N1090" s="1"/>
  <c r="E1372" i="4"/>
  <c r="I1372"/>
  <c r="E1373"/>
  <c r="I1373"/>
  <c r="E1374"/>
  <c r="I1374"/>
  <c r="M1379"/>
  <c r="E1332"/>
  <c r="I1332"/>
  <c r="E1333"/>
  <c r="I1333"/>
  <c r="M1339"/>
  <c r="E341" i="12"/>
  <c r="L341" s="1"/>
  <c r="N341" s="1"/>
  <c r="N343" s="1"/>
  <c r="E1292" i="4"/>
  <c r="I1292"/>
  <c r="E1293"/>
  <c r="I1293"/>
  <c r="E1294"/>
  <c r="I1294"/>
  <c r="M1299"/>
  <c r="L171" i="12"/>
  <c r="N171" s="1"/>
  <c r="L253"/>
  <c r="N253" s="1"/>
  <c r="L254"/>
  <c r="N254" s="1"/>
  <c r="L255"/>
  <c r="N255" s="1"/>
  <c r="E260"/>
  <c r="L260" s="1"/>
  <c r="N260" s="1"/>
  <c r="N262" s="1"/>
  <c r="L212"/>
  <c r="N212" s="1"/>
  <c r="L213"/>
  <c r="N213" s="1"/>
  <c r="L214"/>
  <c r="N214" s="1"/>
  <c r="E219"/>
  <c r="L219" s="1"/>
  <c r="N219" s="1"/>
  <c r="N221" s="1"/>
  <c r="E178"/>
  <c r="L178" s="1"/>
  <c r="N178" s="1"/>
  <c r="N180" s="1"/>
  <c r="L1247" i="4"/>
  <c r="N1247" s="1"/>
  <c r="L1248"/>
  <c r="N1248" s="1"/>
  <c r="E1253"/>
  <c r="I1253"/>
  <c r="M1259"/>
  <c r="L1206"/>
  <c r="N1206" s="1"/>
  <c r="L1207"/>
  <c r="N1207" s="1"/>
  <c r="E1212"/>
  <c r="I1212"/>
  <c r="M1218"/>
  <c r="E1171"/>
  <c r="I1171"/>
  <c r="M1177"/>
  <c r="L1125"/>
  <c r="N1125" s="1"/>
  <c r="L1126"/>
  <c r="N1126" s="1"/>
  <c r="L1127"/>
  <c r="N1127" s="1"/>
  <c r="E1132"/>
  <c r="I1132"/>
  <c r="M1138"/>
  <c r="L1065"/>
  <c r="N1065" s="1"/>
  <c r="L109" i="12"/>
  <c r="N109" s="1"/>
  <c r="L110"/>
  <c r="N110" s="1"/>
  <c r="L111"/>
  <c r="N111" s="1"/>
  <c r="E117"/>
  <c r="L117" s="1"/>
  <c r="N117" s="1"/>
  <c r="E118"/>
  <c r="L118" s="1"/>
  <c r="N118" s="1"/>
  <c r="E119"/>
  <c r="L119" s="1"/>
  <c r="N119" s="1"/>
  <c r="E120"/>
  <c r="L120" s="1"/>
  <c r="N120" s="1"/>
  <c r="L1259"/>
  <c r="N1259" s="1"/>
  <c r="E1264"/>
  <c r="L1264" s="1"/>
  <c r="N1264" s="1"/>
  <c r="E1265"/>
  <c r="L1265" s="1"/>
  <c r="E1266"/>
  <c r="L1266" s="1"/>
  <c r="L613"/>
  <c r="N613" s="1"/>
  <c r="L614"/>
  <c r="N614" s="1"/>
  <c r="L615"/>
  <c r="N615" s="1"/>
  <c r="E620"/>
  <c r="L620" s="1"/>
  <c r="N620" s="1"/>
  <c r="N622" s="1"/>
  <c r="I1072" i="4"/>
  <c r="E1073"/>
  <c r="L1073" s="1"/>
  <c r="N1073" s="1"/>
  <c r="E1074"/>
  <c r="L1074" s="1"/>
  <c r="N1074" s="1"/>
  <c r="L1098"/>
  <c r="L1008"/>
  <c r="N1008" s="1"/>
  <c r="I1013"/>
  <c r="E1014"/>
  <c r="L1014" s="1"/>
  <c r="N1014" s="1"/>
  <c r="E1015"/>
  <c r="L1015" s="1"/>
  <c r="N1015" s="1"/>
  <c r="L1039"/>
  <c r="L968"/>
  <c r="N968" s="1"/>
  <c r="L969"/>
  <c r="N969" s="1"/>
  <c r="E974"/>
  <c r="I974"/>
  <c r="M980"/>
  <c r="L1214" i="12"/>
  <c r="N1214" s="1"/>
  <c r="L1215"/>
  <c r="N1215" s="1"/>
  <c r="L1216"/>
  <c r="N1216" s="1"/>
  <c r="E1221"/>
  <c r="L1221" s="1"/>
  <c r="N1221" s="1"/>
  <c r="N1223" s="1"/>
  <c r="E913" i="4"/>
  <c r="I913"/>
  <c r="E914"/>
  <c r="I914"/>
  <c r="E915"/>
  <c r="I915"/>
  <c r="L939"/>
  <c r="E752"/>
  <c r="I752"/>
  <c r="E753"/>
  <c r="I753"/>
  <c r="E754"/>
  <c r="I754"/>
  <c r="E755"/>
  <c r="I755"/>
  <c r="L765"/>
  <c r="L687"/>
  <c r="N687" s="1"/>
  <c r="E694"/>
  <c r="I694"/>
  <c r="E695"/>
  <c r="I695"/>
  <c r="L715"/>
  <c r="E638"/>
  <c r="I638"/>
  <c r="L657"/>
  <c r="E580"/>
  <c r="I580"/>
  <c r="L600"/>
  <c r="E518"/>
  <c r="I518"/>
  <c r="E519"/>
  <c r="I519"/>
  <c r="E520"/>
  <c r="I520"/>
  <c r="L529"/>
  <c r="L450"/>
  <c r="N450" s="1"/>
  <c r="E456"/>
  <c r="I456"/>
  <c r="E457"/>
  <c r="I457"/>
  <c r="E458"/>
  <c r="I458"/>
  <c r="L469"/>
  <c r="L387"/>
  <c r="N387" s="1"/>
  <c r="E393"/>
  <c r="I393"/>
  <c r="E394"/>
  <c r="I394"/>
  <c r="E395"/>
  <c r="I395"/>
  <c r="L406"/>
  <c r="L324"/>
  <c r="N324" s="1"/>
  <c r="E330"/>
  <c r="I330"/>
  <c r="E331"/>
  <c r="I331"/>
  <c r="E332"/>
  <c r="I332"/>
  <c r="E333"/>
  <c r="I333"/>
  <c r="L343"/>
  <c r="E267"/>
  <c r="I267"/>
  <c r="E268"/>
  <c r="I268"/>
  <c r="E269"/>
  <c r="I269"/>
  <c r="E270"/>
  <c r="I270"/>
  <c r="L280"/>
  <c r="E204"/>
  <c r="I204"/>
  <c r="E205"/>
  <c r="I205"/>
  <c r="E206"/>
  <c r="I206"/>
  <c r="E207"/>
  <c r="I207"/>
  <c r="L217"/>
  <c r="L134"/>
  <c r="N134" s="1"/>
  <c r="E141"/>
  <c r="I141"/>
  <c r="E142"/>
  <c r="I142"/>
  <c r="E143"/>
  <c r="I143"/>
  <c r="E144"/>
  <c r="I144"/>
  <c r="L154"/>
  <c r="L72"/>
  <c r="N72" s="1"/>
  <c r="E78"/>
  <c r="I78"/>
  <c r="E79"/>
  <c r="I79"/>
  <c r="E80"/>
  <c r="I80"/>
  <c r="E81"/>
  <c r="I81"/>
  <c r="L91"/>
  <c r="L27"/>
  <c r="L29"/>
  <c r="E34"/>
  <c r="I34"/>
  <c r="L40"/>
  <c r="K1333"/>
  <c r="D1333"/>
  <c r="K1081" i="12"/>
  <c r="D1081"/>
  <c r="K1080"/>
  <c r="D1080"/>
  <c r="D335"/>
  <c r="K335"/>
  <c r="E538"/>
  <c r="L538" s="1"/>
  <c r="N538" s="1"/>
  <c r="N540" s="1"/>
  <c r="E579"/>
  <c r="L579" s="1"/>
  <c r="N579" s="1"/>
  <c r="N581" s="1"/>
  <c r="E661"/>
  <c r="L661" s="1"/>
  <c r="N661" s="1"/>
  <c r="N663" s="1"/>
  <c r="E965"/>
  <c r="L965" s="1"/>
  <c r="N965" s="1"/>
  <c r="N967" s="1"/>
  <c r="E1006"/>
  <c r="L1006" s="1"/>
  <c r="N1006" s="1"/>
  <c r="E1005"/>
  <c r="L1005" s="1"/>
  <c r="N1005" s="1"/>
  <c r="E1004"/>
  <c r="L1004" s="1"/>
  <c r="N1004" s="1"/>
  <c r="E1180"/>
  <c r="L1180" s="1"/>
  <c r="N1180" s="1"/>
  <c r="N1182" s="1"/>
  <c r="D1255"/>
  <c r="K1255"/>
  <c r="M1266"/>
  <c r="K1266"/>
  <c r="D1266"/>
  <c r="M1265"/>
  <c r="K1265"/>
  <c r="D1265"/>
  <c r="M1264"/>
  <c r="K1264"/>
  <c r="D1264"/>
  <c r="K1258"/>
  <c r="D1258"/>
  <c r="K1257"/>
  <c r="D1257"/>
  <c r="K1256"/>
  <c r="D1256"/>
  <c r="L1235"/>
  <c r="M1235"/>
  <c r="L1236"/>
  <c r="M1236"/>
  <c r="L1237"/>
  <c r="M1237"/>
  <c r="L1238"/>
  <c r="M1238"/>
  <c r="L1239"/>
  <c r="M1239"/>
  <c r="L1240"/>
  <c r="M1240"/>
  <c r="L1241"/>
  <c r="M1241"/>
  <c r="M1245"/>
  <c r="N1245" s="1"/>
  <c r="M1246"/>
  <c r="N1246" s="1"/>
  <c r="L1194"/>
  <c r="M1194"/>
  <c r="L1195"/>
  <c r="M1195"/>
  <c r="L1196"/>
  <c r="M1196"/>
  <c r="L1197"/>
  <c r="M1197"/>
  <c r="L1198"/>
  <c r="M1198"/>
  <c r="L1199"/>
  <c r="M1199"/>
  <c r="L1200"/>
  <c r="M1200"/>
  <c r="M1204"/>
  <c r="N1204" s="1"/>
  <c r="M1205"/>
  <c r="N1205" s="1"/>
  <c r="L1173"/>
  <c r="N1173" s="1"/>
  <c r="L1174"/>
  <c r="N1174" s="1"/>
  <c r="L1175"/>
  <c r="N1175" s="1"/>
  <c r="L1153"/>
  <c r="M1153"/>
  <c r="K1153"/>
  <c r="L1154"/>
  <c r="M1154"/>
  <c r="L1155"/>
  <c r="M1155"/>
  <c r="L1156"/>
  <c r="M1156"/>
  <c r="L1157"/>
  <c r="M1157"/>
  <c r="L1158"/>
  <c r="M1158"/>
  <c r="L1159"/>
  <c r="M1159"/>
  <c r="M1163"/>
  <c r="N1163" s="1"/>
  <c r="M1164"/>
  <c r="N1164" s="1"/>
  <c r="M1232"/>
  <c r="F1232"/>
  <c r="M1191"/>
  <c r="F1191"/>
  <c r="M1150"/>
  <c r="F1150"/>
  <c r="K1259"/>
  <c r="D1259"/>
  <c r="D1246"/>
  <c r="D1245"/>
  <c r="D1241"/>
  <c r="D1240"/>
  <c r="D1239"/>
  <c r="D1238"/>
  <c r="D1237"/>
  <c r="D1236"/>
  <c r="D1235"/>
  <c r="N1232"/>
  <c r="K1221"/>
  <c r="D1221"/>
  <c r="K1216"/>
  <c r="D1216"/>
  <c r="K1215"/>
  <c r="D1215"/>
  <c r="K1214"/>
  <c r="D1214"/>
  <c r="D1205"/>
  <c r="D1204"/>
  <c r="D1200"/>
  <c r="D1199"/>
  <c r="D1198"/>
  <c r="D1197"/>
  <c r="D1196"/>
  <c r="D1195"/>
  <c r="D1194"/>
  <c r="N1191"/>
  <c r="K1180"/>
  <c r="D1180"/>
  <c r="K1175"/>
  <c r="D1175"/>
  <c r="K1174"/>
  <c r="D1174"/>
  <c r="K1173"/>
  <c r="D1173"/>
  <c r="D1164"/>
  <c r="D1163"/>
  <c r="D1159"/>
  <c r="D1158"/>
  <c r="D1157"/>
  <c r="D1156"/>
  <c r="D1155"/>
  <c r="D1154"/>
  <c r="D1153"/>
  <c r="N1150"/>
  <c r="L1101"/>
  <c r="M1101"/>
  <c r="L1102"/>
  <c r="M1102"/>
  <c r="L1103"/>
  <c r="M1103"/>
  <c r="L1104"/>
  <c r="M1104"/>
  <c r="N1105"/>
  <c r="M1109"/>
  <c r="N1109" s="1"/>
  <c r="M1110"/>
  <c r="N1110" s="1"/>
  <c r="N1120"/>
  <c r="N1121" s="1"/>
  <c r="N1127"/>
  <c r="L1134"/>
  <c r="N1134" s="1"/>
  <c r="L1138"/>
  <c r="N1138" s="1"/>
  <c r="N1139" s="1"/>
  <c r="N1140" s="1"/>
  <c r="K1138"/>
  <c r="D1138"/>
  <c r="K1134"/>
  <c r="D1134"/>
  <c r="D1110"/>
  <c r="D1109"/>
  <c r="D1104"/>
  <c r="D1103"/>
  <c r="D1102"/>
  <c r="D1101"/>
  <c r="N1098"/>
  <c r="M1098"/>
  <c r="F1098"/>
  <c r="L880"/>
  <c r="K880"/>
  <c r="M880"/>
  <c r="L881"/>
  <c r="K881"/>
  <c r="M881"/>
  <c r="L882"/>
  <c r="K882"/>
  <c r="M882"/>
  <c r="L883"/>
  <c r="K883"/>
  <c r="M883"/>
  <c r="L884"/>
  <c r="M884"/>
  <c r="L885"/>
  <c r="M885"/>
  <c r="L886"/>
  <c r="M886"/>
  <c r="M890"/>
  <c r="N890" s="1"/>
  <c r="M891"/>
  <c r="N891" s="1"/>
  <c r="M892"/>
  <c r="N892" s="1"/>
  <c r="L47"/>
  <c r="M47"/>
  <c r="L48"/>
  <c r="M48"/>
  <c r="L49"/>
  <c r="M49"/>
  <c r="L50"/>
  <c r="M50"/>
  <c r="L51"/>
  <c r="M51"/>
  <c r="L52"/>
  <c r="M52"/>
  <c r="L53"/>
  <c r="M53"/>
  <c r="M57"/>
  <c r="N57" s="1"/>
  <c r="M58"/>
  <c r="N58" s="1"/>
  <c r="L89"/>
  <c r="K89"/>
  <c r="M89"/>
  <c r="L90"/>
  <c r="K90"/>
  <c r="M90"/>
  <c r="L91"/>
  <c r="K91"/>
  <c r="M91"/>
  <c r="L92"/>
  <c r="K92"/>
  <c r="M92"/>
  <c r="L93"/>
  <c r="K93"/>
  <c r="M93"/>
  <c r="L94"/>
  <c r="K94"/>
  <c r="M94"/>
  <c r="M98"/>
  <c r="N98" s="1"/>
  <c r="M99"/>
  <c r="N99" s="1"/>
  <c r="L129"/>
  <c r="N129" s="1"/>
  <c r="N130" s="1"/>
  <c r="N131" s="1"/>
  <c r="L133"/>
  <c r="N133" s="1"/>
  <c r="N134" s="1"/>
  <c r="N135" s="1"/>
  <c r="L1060"/>
  <c r="M1060"/>
  <c r="L1061"/>
  <c r="M1061"/>
  <c r="L1062"/>
  <c r="M1062"/>
  <c r="L1063"/>
  <c r="M1063"/>
  <c r="L1064"/>
  <c r="M1064"/>
  <c r="L1065"/>
  <c r="M1065"/>
  <c r="L1066"/>
  <c r="M1066"/>
  <c r="M1070"/>
  <c r="N1070" s="1"/>
  <c r="M1071"/>
  <c r="N1071" s="1"/>
  <c r="L552"/>
  <c r="M552"/>
  <c r="L553"/>
  <c r="M553"/>
  <c r="L554"/>
  <c r="M554"/>
  <c r="L555"/>
  <c r="M555"/>
  <c r="L556"/>
  <c r="M556"/>
  <c r="L557"/>
  <c r="M557"/>
  <c r="L558"/>
  <c r="M558"/>
  <c r="M562"/>
  <c r="N562" s="1"/>
  <c r="M563"/>
  <c r="N563" s="1"/>
  <c r="L572"/>
  <c r="N572" s="1"/>
  <c r="L573"/>
  <c r="N573" s="1"/>
  <c r="L574"/>
  <c r="N574" s="1"/>
  <c r="L511"/>
  <c r="M511"/>
  <c r="L512"/>
  <c r="M512"/>
  <c r="L513"/>
  <c r="M513"/>
  <c r="L514"/>
  <c r="M514"/>
  <c r="L515"/>
  <c r="M515"/>
  <c r="L516"/>
  <c r="M516"/>
  <c r="L517"/>
  <c r="M517"/>
  <c r="M521"/>
  <c r="N521" s="1"/>
  <c r="M522"/>
  <c r="N522" s="1"/>
  <c r="L531"/>
  <c r="N531" s="1"/>
  <c r="L532"/>
  <c r="N532" s="1"/>
  <c r="L533"/>
  <c r="N533" s="1"/>
  <c r="L470"/>
  <c r="M470"/>
  <c r="L471"/>
  <c r="M471"/>
  <c r="L472"/>
  <c r="M472"/>
  <c r="L473"/>
  <c r="M473"/>
  <c r="L474"/>
  <c r="M474"/>
  <c r="L475"/>
  <c r="N475" s="1"/>
  <c r="M475"/>
  <c r="L476"/>
  <c r="M476"/>
  <c r="M480"/>
  <c r="N480" s="1"/>
  <c r="M481"/>
  <c r="N481" s="1"/>
  <c r="L840"/>
  <c r="M840"/>
  <c r="L841"/>
  <c r="M841"/>
  <c r="L842"/>
  <c r="M842"/>
  <c r="L843"/>
  <c r="M843"/>
  <c r="L844"/>
  <c r="M844"/>
  <c r="M848"/>
  <c r="N848" s="1"/>
  <c r="M849"/>
  <c r="N849" s="1"/>
  <c r="L315"/>
  <c r="M315"/>
  <c r="L316"/>
  <c r="M316"/>
  <c r="L317"/>
  <c r="M317"/>
  <c r="L318"/>
  <c r="M318"/>
  <c r="L319"/>
  <c r="M319"/>
  <c r="L320"/>
  <c r="M320"/>
  <c r="L321"/>
  <c r="M321"/>
  <c r="M325"/>
  <c r="N325" s="1"/>
  <c r="M326"/>
  <c r="N326" s="1"/>
  <c r="L233"/>
  <c r="M233"/>
  <c r="L234"/>
  <c r="M234"/>
  <c r="L235"/>
  <c r="M235"/>
  <c r="L236"/>
  <c r="N236" s="1"/>
  <c r="M236"/>
  <c r="L237"/>
  <c r="M237"/>
  <c r="L238"/>
  <c r="M238"/>
  <c r="L239"/>
  <c r="M239"/>
  <c r="M243"/>
  <c r="N243" s="1"/>
  <c r="M244"/>
  <c r="N244" s="1"/>
  <c r="L192"/>
  <c r="M192"/>
  <c r="L193"/>
  <c r="N193" s="1"/>
  <c r="M193"/>
  <c r="L194"/>
  <c r="M194"/>
  <c r="L195"/>
  <c r="N195" s="1"/>
  <c r="M195"/>
  <c r="L196"/>
  <c r="M196"/>
  <c r="L197"/>
  <c r="M197"/>
  <c r="L198"/>
  <c r="M198"/>
  <c r="M202"/>
  <c r="N202" s="1"/>
  <c r="M203"/>
  <c r="N203" s="1"/>
  <c r="L151"/>
  <c r="M151"/>
  <c r="L152"/>
  <c r="M152"/>
  <c r="L153"/>
  <c r="M153"/>
  <c r="L154"/>
  <c r="M154"/>
  <c r="L155"/>
  <c r="M155"/>
  <c r="L156"/>
  <c r="M156"/>
  <c r="L157"/>
  <c r="M157"/>
  <c r="M161"/>
  <c r="N161" s="1"/>
  <c r="M162"/>
  <c r="N162" s="1"/>
  <c r="N3"/>
  <c r="D6"/>
  <c r="L6"/>
  <c r="M6"/>
  <c r="L7"/>
  <c r="M7"/>
  <c r="L8"/>
  <c r="M8"/>
  <c r="L9"/>
  <c r="M9"/>
  <c r="L10"/>
  <c r="M10"/>
  <c r="L11"/>
  <c r="M11"/>
  <c r="L12"/>
  <c r="M12"/>
  <c r="D7"/>
  <c r="D8"/>
  <c r="D9"/>
  <c r="D10"/>
  <c r="D11"/>
  <c r="D12"/>
  <c r="D16"/>
  <c r="M16"/>
  <c r="N16" s="1"/>
  <c r="D17"/>
  <c r="M17"/>
  <c r="N17" s="1"/>
  <c r="D26"/>
  <c r="K26"/>
  <c r="D27"/>
  <c r="K27"/>
  <c r="D28"/>
  <c r="K28"/>
  <c r="D33"/>
  <c r="K33"/>
  <c r="N44"/>
  <c r="D47"/>
  <c r="D48"/>
  <c r="D49"/>
  <c r="D50"/>
  <c r="D51"/>
  <c r="D52"/>
  <c r="D53"/>
  <c r="D57"/>
  <c r="D58"/>
  <c r="D67"/>
  <c r="K67"/>
  <c r="D68"/>
  <c r="K68"/>
  <c r="D69"/>
  <c r="K69"/>
  <c r="D74"/>
  <c r="K74"/>
  <c r="N86"/>
  <c r="D89"/>
  <c r="D90"/>
  <c r="D91"/>
  <c r="D92"/>
  <c r="D93"/>
  <c r="D94"/>
  <c r="D98"/>
  <c r="D99"/>
  <c r="D108"/>
  <c r="K108"/>
  <c r="D109"/>
  <c r="K109"/>
  <c r="D110"/>
  <c r="K110"/>
  <c r="D111"/>
  <c r="K111"/>
  <c r="D117"/>
  <c r="K117"/>
  <c r="D118"/>
  <c r="K118"/>
  <c r="D119"/>
  <c r="K119"/>
  <c r="D120"/>
  <c r="K120"/>
  <c r="D129"/>
  <c r="K129"/>
  <c r="D133"/>
  <c r="K133"/>
  <c r="N148"/>
  <c r="D151"/>
  <c r="K151"/>
  <c r="D152"/>
  <c r="K152"/>
  <c r="D153"/>
  <c r="K153"/>
  <c r="D154"/>
  <c r="D155"/>
  <c r="D156"/>
  <c r="D157"/>
  <c r="D161"/>
  <c r="D162"/>
  <c r="D171"/>
  <c r="K171"/>
  <c r="D172"/>
  <c r="K172"/>
  <c r="D173"/>
  <c r="K173"/>
  <c r="D178"/>
  <c r="K178"/>
  <c r="N189"/>
  <c r="D192"/>
  <c r="K192"/>
  <c r="D193"/>
  <c r="D194"/>
  <c r="D195"/>
  <c r="D196"/>
  <c r="D197"/>
  <c r="D198"/>
  <c r="D202"/>
  <c r="D203"/>
  <c r="D212"/>
  <c r="K212"/>
  <c r="D213"/>
  <c r="K213"/>
  <c r="D214"/>
  <c r="K214"/>
  <c r="D219"/>
  <c r="K219"/>
  <c r="N230"/>
  <c r="D233"/>
  <c r="K233"/>
  <c r="D234"/>
  <c r="D235"/>
  <c r="D236"/>
  <c r="D237"/>
  <c r="D238"/>
  <c r="D239"/>
  <c r="D243"/>
  <c r="D244"/>
  <c r="D253"/>
  <c r="K253"/>
  <c r="D254"/>
  <c r="K254"/>
  <c r="D255"/>
  <c r="K255"/>
  <c r="D260"/>
  <c r="K260"/>
  <c r="N271"/>
  <c r="D274"/>
  <c r="L274"/>
  <c r="M274"/>
  <c r="D275"/>
  <c r="L275"/>
  <c r="M275"/>
  <c r="D276"/>
  <c r="L276"/>
  <c r="M276"/>
  <c r="D277"/>
  <c r="L277"/>
  <c r="M277"/>
  <c r="D278"/>
  <c r="L278"/>
  <c r="M278"/>
  <c r="D279"/>
  <c r="L279"/>
  <c r="M279"/>
  <c r="D280"/>
  <c r="L280"/>
  <c r="M280"/>
  <c r="D284"/>
  <c r="M284"/>
  <c r="N284" s="1"/>
  <c r="D285"/>
  <c r="M285"/>
  <c r="N285" s="1"/>
  <c r="D294"/>
  <c r="K294"/>
  <c r="D295"/>
  <c r="K295"/>
  <c r="D296"/>
  <c r="K296"/>
  <c r="D301"/>
  <c r="K301"/>
  <c r="N312"/>
  <c r="D315"/>
  <c r="K315"/>
  <c r="D316"/>
  <c r="K316"/>
  <c r="D317"/>
  <c r="K317"/>
  <c r="D318"/>
  <c r="D319"/>
  <c r="D320"/>
  <c r="D321"/>
  <c r="D325"/>
  <c r="D326"/>
  <c r="D336"/>
  <c r="K336"/>
  <c r="D341"/>
  <c r="K341"/>
  <c r="N352"/>
  <c r="D355"/>
  <c r="L355"/>
  <c r="M355"/>
  <c r="D356"/>
  <c r="L356"/>
  <c r="M356"/>
  <c r="D357"/>
  <c r="L357"/>
  <c r="M357"/>
  <c r="D358"/>
  <c r="L358"/>
  <c r="M358"/>
  <c r="N359"/>
  <c r="D363"/>
  <c r="M363"/>
  <c r="N363" s="1"/>
  <c r="D364"/>
  <c r="M364"/>
  <c r="N364" s="1"/>
  <c r="N374"/>
  <c r="N375" s="1"/>
  <c r="N381"/>
  <c r="D388"/>
  <c r="K388"/>
  <c r="L388"/>
  <c r="N388" s="1"/>
  <c r="N389" s="1"/>
  <c r="D392"/>
  <c r="K392"/>
  <c r="L392"/>
  <c r="N392" s="1"/>
  <c r="N393" s="1"/>
  <c r="N404"/>
  <c r="D407"/>
  <c r="K407"/>
  <c r="L407"/>
  <c r="M407"/>
  <c r="D408"/>
  <c r="K408"/>
  <c r="L408"/>
  <c r="M408"/>
  <c r="D409"/>
  <c r="K409"/>
  <c r="L409"/>
  <c r="M409"/>
  <c r="D410"/>
  <c r="K410"/>
  <c r="L410"/>
  <c r="M410"/>
  <c r="D411"/>
  <c r="K411"/>
  <c r="L411"/>
  <c r="M411"/>
  <c r="D412"/>
  <c r="K412"/>
  <c r="L412"/>
  <c r="M412"/>
  <c r="D417"/>
  <c r="M417"/>
  <c r="N417" s="1"/>
  <c r="D418"/>
  <c r="M418"/>
  <c r="N418" s="1"/>
  <c r="D427"/>
  <c r="K427"/>
  <c r="D428"/>
  <c r="K428"/>
  <c r="L428"/>
  <c r="N428" s="1"/>
  <c r="D429"/>
  <c r="K429"/>
  <c r="L429"/>
  <c r="N429" s="1"/>
  <c r="D430"/>
  <c r="K430"/>
  <c r="L430"/>
  <c r="N430" s="1"/>
  <c r="D436"/>
  <c r="E436"/>
  <c r="L436" s="1"/>
  <c r="N436" s="1"/>
  <c r="K436"/>
  <c r="D437"/>
  <c r="E437"/>
  <c r="L437" s="1"/>
  <c r="N437" s="1"/>
  <c r="K437"/>
  <c r="D438"/>
  <c r="E438"/>
  <c r="L438" s="1"/>
  <c r="N438" s="1"/>
  <c r="K438"/>
  <c r="D439"/>
  <c r="E439"/>
  <c r="L439" s="1"/>
  <c r="N439" s="1"/>
  <c r="K439"/>
  <c r="D448"/>
  <c r="K448"/>
  <c r="L448"/>
  <c r="N448" s="1"/>
  <c r="D452"/>
  <c r="K452"/>
  <c r="L452"/>
  <c r="N452" s="1"/>
  <c r="N467"/>
  <c r="D470"/>
  <c r="K470"/>
  <c r="D471"/>
  <c r="K471"/>
  <c r="D472"/>
  <c r="K472"/>
  <c r="D473"/>
  <c r="D474"/>
  <c r="D475"/>
  <c r="D476"/>
  <c r="D480"/>
  <c r="D481"/>
  <c r="D490"/>
  <c r="K490"/>
  <c r="D491"/>
  <c r="K491"/>
  <c r="D492"/>
  <c r="K492"/>
  <c r="D497"/>
  <c r="K497"/>
  <c r="N508"/>
  <c r="D511"/>
  <c r="K511"/>
  <c r="D512"/>
  <c r="D513"/>
  <c r="D514"/>
  <c r="D515"/>
  <c r="D516"/>
  <c r="D517"/>
  <c r="D521"/>
  <c r="D522"/>
  <c r="D531"/>
  <c r="K531"/>
  <c r="D532"/>
  <c r="K532"/>
  <c r="D533"/>
  <c r="K533"/>
  <c r="D538"/>
  <c r="K538"/>
  <c r="N549"/>
  <c r="D552"/>
  <c r="K552"/>
  <c r="D553"/>
  <c r="D554"/>
  <c r="D555"/>
  <c r="D556"/>
  <c r="D557"/>
  <c r="D558"/>
  <c r="D562"/>
  <c r="D563"/>
  <c r="D572"/>
  <c r="K572"/>
  <c r="D573"/>
  <c r="K573"/>
  <c r="D574"/>
  <c r="K574"/>
  <c r="D579"/>
  <c r="K579"/>
  <c r="N590"/>
  <c r="D593"/>
  <c r="K593"/>
  <c r="L593"/>
  <c r="M593"/>
  <c r="D594"/>
  <c r="L594"/>
  <c r="M594"/>
  <c r="D595"/>
  <c r="L595"/>
  <c r="M595"/>
  <c r="D596"/>
  <c r="L596"/>
  <c r="M596"/>
  <c r="D597"/>
  <c r="L597"/>
  <c r="M597"/>
  <c r="D598"/>
  <c r="L598"/>
  <c r="M598"/>
  <c r="D599"/>
  <c r="L599"/>
  <c r="M599"/>
  <c r="D603"/>
  <c r="M603"/>
  <c r="N603" s="1"/>
  <c r="D604"/>
  <c r="M604"/>
  <c r="N604" s="1"/>
  <c r="D613"/>
  <c r="K613"/>
  <c r="D614"/>
  <c r="K614"/>
  <c r="D615"/>
  <c r="K615"/>
  <c r="D620"/>
  <c r="K620"/>
  <c r="N631"/>
  <c r="D634"/>
  <c r="K634"/>
  <c r="L634"/>
  <c r="M634"/>
  <c r="D635"/>
  <c r="L635"/>
  <c r="M635"/>
  <c r="D636"/>
  <c r="L636"/>
  <c r="M636"/>
  <c r="D637"/>
  <c r="L637"/>
  <c r="M637"/>
  <c r="D638"/>
  <c r="L638"/>
  <c r="M638"/>
  <c r="D639"/>
  <c r="L639"/>
  <c r="M639"/>
  <c r="D640"/>
  <c r="L640"/>
  <c r="M640"/>
  <c r="D644"/>
  <c r="M644"/>
  <c r="N644" s="1"/>
  <c r="D645"/>
  <c r="M645"/>
  <c r="N645" s="1"/>
  <c r="D654"/>
  <c r="K654"/>
  <c r="L654"/>
  <c r="N654" s="1"/>
  <c r="D655"/>
  <c r="K655"/>
  <c r="L655"/>
  <c r="N655" s="1"/>
  <c r="D656"/>
  <c r="K656"/>
  <c r="L656"/>
  <c r="N656" s="1"/>
  <c r="D661"/>
  <c r="K661"/>
  <c r="N672"/>
  <c r="D675"/>
  <c r="K675"/>
  <c r="L675"/>
  <c r="M675"/>
  <c r="D676"/>
  <c r="L676"/>
  <c r="M676"/>
  <c r="D677"/>
  <c r="L677"/>
  <c r="M677"/>
  <c r="D678"/>
  <c r="L678"/>
  <c r="M678"/>
  <c r="D679"/>
  <c r="L679"/>
  <c r="M679"/>
  <c r="D680"/>
  <c r="L680"/>
  <c r="M680"/>
  <c r="D681"/>
  <c r="L681"/>
  <c r="M681"/>
  <c r="D685"/>
  <c r="M685"/>
  <c r="N685" s="1"/>
  <c r="D686"/>
  <c r="M686"/>
  <c r="N686" s="1"/>
  <c r="D695"/>
  <c r="K695"/>
  <c r="D696"/>
  <c r="K696"/>
  <c r="D697"/>
  <c r="K697"/>
  <c r="D702"/>
  <c r="K702"/>
  <c r="N713"/>
  <c r="D716"/>
  <c r="K716"/>
  <c r="L716"/>
  <c r="M716"/>
  <c r="D717"/>
  <c r="K717"/>
  <c r="L717"/>
  <c r="M717"/>
  <c r="D718"/>
  <c r="K718"/>
  <c r="L718"/>
  <c r="M718"/>
  <c r="D719"/>
  <c r="L719"/>
  <c r="M719"/>
  <c r="D720"/>
  <c r="L720"/>
  <c r="M720"/>
  <c r="D721"/>
  <c r="L721"/>
  <c r="M721"/>
  <c r="D722"/>
  <c r="L722"/>
  <c r="M722"/>
  <c r="D726"/>
  <c r="M726"/>
  <c r="N726" s="1"/>
  <c r="D727"/>
  <c r="M727"/>
  <c r="N727" s="1"/>
  <c r="D728"/>
  <c r="M728"/>
  <c r="N728" s="1"/>
  <c r="D737"/>
  <c r="K737"/>
  <c r="D738"/>
  <c r="K738"/>
  <c r="D739"/>
  <c r="K739"/>
  <c r="D744"/>
  <c r="K744"/>
  <c r="N755"/>
  <c r="D758"/>
  <c r="K758"/>
  <c r="L758"/>
  <c r="M758"/>
  <c r="D759"/>
  <c r="K759"/>
  <c r="L759"/>
  <c r="M759"/>
  <c r="D760"/>
  <c r="K760"/>
  <c r="L760"/>
  <c r="M760"/>
  <c r="D761"/>
  <c r="L761"/>
  <c r="M761"/>
  <c r="D762"/>
  <c r="L762"/>
  <c r="M762"/>
  <c r="D763"/>
  <c r="L763"/>
  <c r="M763"/>
  <c r="D764"/>
  <c r="L764"/>
  <c r="M764"/>
  <c r="D768"/>
  <c r="M768"/>
  <c r="N768" s="1"/>
  <c r="D769"/>
  <c r="M769"/>
  <c r="N769" s="1"/>
  <c r="D770"/>
  <c r="M770"/>
  <c r="N770" s="1"/>
  <c r="D779"/>
  <c r="K779"/>
  <c r="D780"/>
  <c r="K780"/>
  <c r="D781"/>
  <c r="K781"/>
  <c r="D786"/>
  <c r="K786"/>
  <c r="N797"/>
  <c r="D800"/>
  <c r="K800"/>
  <c r="L800"/>
  <c r="M800"/>
  <c r="D801"/>
  <c r="K801"/>
  <c r="L801"/>
  <c r="M801"/>
  <c r="D802"/>
  <c r="K802"/>
  <c r="L802"/>
  <c r="M802"/>
  <c r="D803"/>
  <c r="K803"/>
  <c r="L803"/>
  <c r="M803"/>
  <c r="D804"/>
  <c r="K804"/>
  <c r="L804"/>
  <c r="M804"/>
  <c r="D808"/>
  <c r="M808"/>
  <c r="N808" s="1"/>
  <c r="D809"/>
  <c r="M809"/>
  <c r="N809" s="1"/>
  <c r="D818"/>
  <c r="K818"/>
  <c r="N819"/>
  <c r="N820"/>
  <c r="D825"/>
  <c r="K825"/>
  <c r="N826"/>
  <c r="N827"/>
  <c r="N837"/>
  <c r="D840"/>
  <c r="K840"/>
  <c r="D841"/>
  <c r="K841"/>
  <c r="D842"/>
  <c r="K842"/>
  <c r="D843"/>
  <c r="D844"/>
  <c r="D848"/>
  <c r="D849"/>
  <c r="D858"/>
  <c r="K858"/>
  <c r="N859"/>
  <c r="N860"/>
  <c r="D865"/>
  <c r="K865"/>
  <c r="D866"/>
  <c r="K866"/>
  <c r="D867"/>
  <c r="K867"/>
  <c r="F877"/>
  <c r="N877"/>
  <c r="D880"/>
  <c r="D881"/>
  <c r="D882"/>
  <c r="D883"/>
  <c r="D884"/>
  <c r="D885"/>
  <c r="D886"/>
  <c r="D890"/>
  <c r="D891"/>
  <c r="D892"/>
  <c r="D901"/>
  <c r="K901"/>
  <c r="D902"/>
  <c r="K902"/>
  <c r="D903"/>
  <c r="K903"/>
  <c r="D904"/>
  <c r="K904"/>
  <c r="D905"/>
  <c r="K905"/>
  <c r="D906"/>
  <c r="K906"/>
  <c r="D907"/>
  <c r="K907"/>
  <c r="D908"/>
  <c r="K908"/>
  <c r="D909"/>
  <c r="K909"/>
  <c r="D914"/>
  <c r="K914"/>
  <c r="F925"/>
  <c r="N925"/>
  <c r="D928"/>
  <c r="K928"/>
  <c r="L928"/>
  <c r="M928"/>
  <c r="D929"/>
  <c r="K929"/>
  <c r="L929"/>
  <c r="M929"/>
  <c r="D930"/>
  <c r="K930"/>
  <c r="L930"/>
  <c r="M930"/>
  <c r="D931"/>
  <c r="K931"/>
  <c r="L931"/>
  <c r="M931"/>
  <c r="D932"/>
  <c r="K932"/>
  <c r="L932"/>
  <c r="M932"/>
  <c r="D933"/>
  <c r="L933"/>
  <c r="M933"/>
  <c r="D934"/>
  <c r="L934"/>
  <c r="M934"/>
  <c r="D938"/>
  <c r="M938"/>
  <c r="N938" s="1"/>
  <c r="D939"/>
  <c r="M939"/>
  <c r="N939" s="1"/>
  <c r="D940"/>
  <c r="M940"/>
  <c r="N940" s="1"/>
  <c r="D949"/>
  <c r="K949"/>
  <c r="D950"/>
  <c r="K950"/>
  <c r="L950"/>
  <c r="N950" s="1"/>
  <c r="D951"/>
  <c r="K951"/>
  <c r="D952"/>
  <c r="K952"/>
  <c r="L952"/>
  <c r="N952" s="1"/>
  <c r="D953"/>
  <c r="K953"/>
  <c r="D954"/>
  <c r="K954"/>
  <c r="L954"/>
  <c r="N954" s="1"/>
  <c r="D955"/>
  <c r="K955"/>
  <c r="D956"/>
  <c r="K956"/>
  <c r="L956"/>
  <c r="N956" s="1"/>
  <c r="D957"/>
  <c r="K957"/>
  <c r="D958"/>
  <c r="K958"/>
  <c r="L958"/>
  <c r="N958" s="1"/>
  <c r="D959"/>
  <c r="K959"/>
  <c r="D960"/>
  <c r="K960"/>
  <c r="D965"/>
  <c r="K965"/>
  <c r="F977"/>
  <c r="N977"/>
  <c r="D980"/>
  <c r="K980"/>
  <c r="L980"/>
  <c r="M980"/>
  <c r="D981"/>
  <c r="K981"/>
  <c r="L981"/>
  <c r="M981"/>
  <c r="D982"/>
  <c r="K982"/>
  <c r="L982"/>
  <c r="M982"/>
  <c r="D983"/>
  <c r="L983"/>
  <c r="M983"/>
  <c r="D984"/>
  <c r="L984"/>
  <c r="M984"/>
  <c r="D988"/>
  <c r="M988"/>
  <c r="N988" s="1"/>
  <c r="D989"/>
  <c r="M989"/>
  <c r="N989" s="1"/>
  <c r="D998"/>
  <c r="K998"/>
  <c r="N999"/>
  <c r="D1004"/>
  <c r="K1004"/>
  <c r="D1005"/>
  <c r="K1005"/>
  <c r="D1006"/>
  <c r="K1006"/>
  <c r="F1017"/>
  <c r="N1017"/>
  <c r="D1020"/>
  <c r="K1020"/>
  <c r="L1020"/>
  <c r="M1020"/>
  <c r="D1021"/>
  <c r="L1021"/>
  <c r="M1021"/>
  <c r="D1022"/>
  <c r="L1022"/>
  <c r="M1022"/>
  <c r="D1023"/>
  <c r="L1023"/>
  <c r="M1023"/>
  <c r="D1024"/>
  <c r="L1024"/>
  <c r="M1024"/>
  <c r="D1028"/>
  <c r="M1028"/>
  <c r="N1028" s="1"/>
  <c r="M1029"/>
  <c r="N1029" s="1"/>
  <c r="D1029"/>
  <c r="D1038"/>
  <c r="K1038"/>
  <c r="D1039"/>
  <c r="K1039"/>
  <c r="N1040"/>
  <c r="D1045"/>
  <c r="K1045"/>
  <c r="D1046"/>
  <c r="K1046"/>
  <c r="D1047"/>
  <c r="K1047"/>
  <c r="F1057"/>
  <c r="N1057"/>
  <c r="D1060"/>
  <c r="K1060"/>
  <c r="D1061"/>
  <c r="K1061"/>
  <c r="D1062"/>
  <c r="K1062"/>
  <c r="D1063"/>
  <c r="D1064"/>
  <c r="D1065"/>
  <c r="D1066"/>
  <c r="D1070"/>
  <c r="D1071"/>
  <c r="D1082"/>
  <c r="K1082"/>
  <c r="D1083"/>
  <c r="K1083"/>
  <c r="D1088"/>
  <c r="K1088"/>
  <c r="N1681" i="4"/>
  <c r="N1688"/>
  <c r="L1661"/>
  <c r="M1661"/>
  <c r="L1662"/>
  <c r="M1662"/>
  <c r="L1663"/>
  <c r="M1663"/>
  <c r="L1664"/>
  <c r="M1664"/>
  <c r="L1665"/>
  <c r="M1665"/>
  <c r="M1669"/>
  <c r="N1669" s="1"/>
  <c r="M1670"/>
  <c r="N1670" s="1"/>
  <c r="L1523"/>
  <c r="K1523"/>
  <c r="M1523"/>
  <c r="L1430"/>
  <c r="M1430"/>
  <c r="D1430"/>
  <c r="M1413"/>
  <c r="L1226"/>
  <c r="M1226"/>
  <c r="K1226"/>
  <c r="L1191"/>
  <c r="M1191"/>
  <c r="K1191"/>
  <c r="L1190"/>
  <c r="M1190"/>
  <c r="K1190"/>
  <c r="L1189"/>
  <c r="M1189"/>
  <c r="K1189"/>
  <c r="L1188"/>
  <c r="M1188"/>
  <c r="K1188"/>
  <c r="L1187"/>
  <c r="M1187"/>
  <c r="K1187"/>
  <c r="L1186"/>
  <c r="M1186"/>
  <c r="K1186"/>
  <c r="L1185"/>
  <c r="M1185"/>
  <c r="K1185"/>
  <c r="L1232"/>
  <c r="M1232"/>
  <c r="K1232"/>
  <c r="L1231"/>
  <c r="M1231"/>
  <c r="K1231"/>
  <c r="L1230"/>
  <c r="M1230"/>
  <c r="K1230"/>
  <c r="L1229"/>
  <c r="M1229"/>
  <c r="K1229"/>
  <c r="L1228"/>
  <c r="M1228"/>
  <c r="K1228"/>
  <c r="L1227"/>
  <c r="M1227"/>
  <c r="K1227"/>
  <c r="M1236"/>
  <c r="N1236" s="1"/>
  <c r="M1237"/>
  <c r="N1237" s="1"/>
  <c r="M1195"/>
  <c r="N1195" s="1"/>
  <c r="M1196"/>
  <c r="N1196" s="1"/>
  <c r="D1191"/>
  <c r="D1190"/>
  <c r="D1189"/>
  <c r="D1188"/>
  <c r="D1187"/>
  <c r="D1186"/>
  <c r="D1185"/>
  <c r="K1248"/>
  <c r="D1248"/>
  <c r="K1247"/>
  <c r="D1247"/>
  <c r="K1246"/>
  <c r="D1246"/>
  <c r="K1205"/>
  <c r="D1205"/>
  <c r="D1066"/>
  <c r="K1066"/>
  <c r="D1067"/>
  <c r="K1067"/>
  <c r="L1047"/>
  <c r="K1047"/>
  <c r="M1047"/>
  <c r="L1048"/>
  <c r="K1048"/>
  <c r="M1048"/>
  <c r="L1049"/>
  <c r="K1049"/>
  <c r="M1049"/>
  <c r="M1055"/>
  <c r="N1055" s="1"/>
  <c r="M1056"/>
  <c r="N1056" s="1"/>
  <c r="L1082"/>
  <c r="N1082" s="1"/>
  <c r="L1083"/>
  <c r="N1083" s="1"/>
  <c r="L1084"/>
  <c r="N1084" s="1"/>
  <c r="L1088"/>
  <c r="N1088" s="1"/>
  <c r="L1089"/>
  <c r="N1089" s="1"/>
  <c r="L1090"/>
  <c r="N1090" s="1"/>
  <c r="L1085"/>
  <c r="L1091"/>
  <c r="K1090"/>
  <c r="D1090"/>
  <c r="K1089"/>
  <c r="D1089"/>
  <c r="K1088"/>
  <c r="D1088"/>
  <c r="K1084"/>
  <c r="D1084"/>
  <c r="K1083"/>
  <c r="D1083"/>
  <c r="K1082"/>
  <c r="D1082"/>
  <c r="L1078"/>
  <c r="K1074"/>
  <c r="D1074"/>
  <c r="K1073"/>
  <c r="D1073"/>
  <c r="K1072"/>
  <c r="D1072"/>
  <c r="K1065"/>
  <c r="D1065"/>
  <c r="D1056"/>
  <c r="D1055"/>
  <c r="D1049"/>
  <c r="D1048"/>
  <c r="D1047"/>
  <c r="L923"/>
  <c r="N923" s="1"/>
  <c r="L925"/>
  <c r="N925" s="1"/>
  <c r="L924"/>
  <c r="N924" s="1"/>
  <c r="L926"/>
  <c r="L988"/>
  <c r="M988"/>
  <c r="K988"/>
  <c r="L989"/>
  <c r="M989"/>
  <c r="K989"/>
  <c r="L990"/>
  <c r="M990"/>
  <c r="K990"/>
  <c r="M996"/>
  <c r="N996" s="1"/>
  <c r="M997"/>
  <c r="N997" s="1"/>
  <c r="L1023"/>
  <c r="N1023" s="1"/>
  <c r="L1024"/>
  <c r="N1024" s="1"/>
  <c r="L1025"/>
  <c r="N1025" s="1"/>
  <c r="L1029"/>
  <c r="N1029" s="1"/>
  <c r="L1030"/>
  <c r="N1030" s="1"/>
  <c r="L1031"/>
  <c r="N1031" s="1"/>
  <c r="L1026"/>
  <c r="L1032"/>
  <c r="M1534"/>
  <c r="N1534" s="1"/>
  <c r="M1535"/>
  <c r="N1535" s="1"/>
  <c r="L1524"/>
  <c r="M1524"/>
  <c r="K1524"/>
  <c r="L1525"/>
  <c r="M1525"/>
  <c r="K1525"/>
  <c r="L1526"/>
  <c r="M1526"/>
  <c r="K1526"/>
  <c r="L1527"/>
  <c r="M1527"/>
  <c r="K1527"/>
  <c r="L1528"/>
  <c r="M1528"/>
  <c r="K1528"/>
  <c r="L1529"/>
  <c r="M1529"/>
  <c r="K1529"/>
  <c r="L1530"/>
  <c r="M1530"/>
  <c r="K1530"/>
  <c r="N1554"/>
  <c r="L1562"/>
  <c r="N1562" s="1"/>
  <c r="L1566"/>
  <c r="N1566" s="1"/>
  <c r="L1582"/>
  <c r="M1582"/>
  <c r="L1583"/>
  <c r="M1583"/>
  <c r="L1584"/>
  <c r="M1584"/>
  <c r="L1585"/>
  <c r="M1585"/>
  <c r="L1586"/>
  <c r="M1586"/>
  <c r="M1590"/>
  <c r="N1590" s="1"/>
  <c r="M1591"/>
  <c r="N1591" s="1"/>
  <c r="N1608"/>
  <c r="L1621"/>
  <c r="M1621"/>
  <c r="L1622"/>
  <c r="M1622"/>
  <c r="L1623"/>
  <c r="M1623"/>
  <c r="L1624"/>
  <c r="M1624"/>
  <c r="L1625"/>
  <c r="M1625"/>
  <c r="M1629"/>
  <c r="N1629" s="1"/>
  <c r="M1630"/>
  <c r="N1630" s="1"/>
  <c r="N1648"/>
  <c r="M1712"/>
  <c r="N1712" s="1"/>
  <c r="M1713"/>
  <c r="N1713" s="1"/>
  <c r="M1714"/>
  <c r="N1714" s="1"/>
  <c r="L1702"/>
  <c r="M1702"/>
  <c r="K1702"/>
  <c r="L1703"/>
  <c r="M1703"/>
  <c r="K1703"/>
  <c r="L1704"/>
  <c r="M1704"/>
  <c r="K1704"/>
  <c r="L1705"/>
  <c r="M1705"/>
  <c r="L1706"/>
  <c r="M1706"/>
  <c r="L1707"/>
  <c r="M1707"/>
  <c r="L1708"/>
  <c r="M1708"/>
  <c r="L1567"/>
  <c r="N1510"/>
  <c r="L1483"/>
  <c r="M1483"/>
  <c r="L1484"/>
  <c r="M1484"/>
  <c r="L1485"/>
  <c r="M1485"/>
  <c r="L1486"/>
  <c r="M1486"/>
  <c r="L1487"/>
  <c r="M1487"/>
  <c r="M1491"/>
  <c r="N1491" s="1"/>
  <c r="M1492"/>
  <c r="N1492" s="1"/>
  <c r="N1414"/>
  <c r="L1387"/>
  <c r="M1387"/>
  <c r="L1388"/>
  <c r="M1388"/>
  <c r="L1389"/>
  <c r="M1389"/>
  <c r="L1390"/>
  <c r="M1390"/>
  <c r="L1391"/>
  <c r="M1391"/>
  <c r="M1395"/>
  <c r="N1395" s="1"/>
  <c r="M1396"/>
  <c r="N1396" s="1"/>
  <c r="M1357"/>
  <c r="N1357" s="1"/>
  <c r="N1356"/>
  <c r="L1347"/>
  <c r="M1347"/>
  <c r="K1347"/>
  <c r="L1348"/>
  <c r="M1348"/>
  <c r="K1348"/>
  <c r="L1349"/>
  <c r="M1349"/>
  <c r="K1349"/>
  <c r="L1350"/>
  <c r="M1350"/>
  <c r="K1350"/>
  <c r="L1351"/>
  <c r="M1351"/>
  <c r="K1351"/>
  <c r="L1352"/>
  <c r="M1352"/>
  <c r="K1352"/>
  <c r="L1307"/>
  <c r="M1307"/>
  <c r="K1307"/>
  <c r="L1308"/>
  <c r="M1308"/>
  <c r="K1308"/>
  <c r="L1309"/>
  <c r="M1309"/>
  <c r="K1309"/>
  <c r="L1310"/>
  <c r="M1310"/>
  <c r="K1310"/>
  <c r="L1311"/>
  <c r="M1311"/>
  <c r="K1311"/>
  <c r="M1315"/>
  <c r="N1315" s="1"/>
  <c r="M1316"/>
  <c r="N1316" s="1"/>
  <c r="N1334"/>
  <c r="L1267"/>
  <c r="M1267"/>
  <c r="K1267"/>
  <c r="L1268"/>
  <c r="M1268"/>
  <c r="K1268"/>
  <c r="L1269"/>
  <c r="M1269"/>
  <c r="K1269"/>
  <c r="L1270"/>
  <c r="M1270"/>
  <c r="K1270"/>
  <c r="L1271"/>
  <c r="M1271"/>
  <c r="K1271"/>
  <c r="M1275"/>
  <c r="N1275" s="1"/>
  <c r="M1276"/>
  <c r="N1276" s="1"/>
  <c r="M1156"/>
  <c r="N1156" s="1"/>
  <c r="M1157"/>
  <c r="N1157" s="1"/>
  <c r="L1146"/>
  <c r="M1146"/>
  <c r="K1146"/>
  <c r="L1147"/>
  <c r="M1147"/>
  <c r="K1147"/>
  <c r="L1148"/>
  <c r="M1148"/>
  <c r="K1148"/>
  <c r="L1149"/>
  <c r="M1149"/>
  <c r="K1149"/>
  <c r="L1150"/>
  <c r="M1150"/>
  <c r="K1150"/>
  <c r="L1151"/>
  <c r="M1151"/>
  <c r="K1151"/>
  <c r="L1152"/>
  <c r="M1152"/>
  <c r="K1152"/>
  <c r="M1115"/>
  <c r="N1115" s="1"/>
  <c r="M1116"/>
  <c r="N1116" s="1"/>
  <c r="L1106"/>
  <c r="M1106"/>
  <c r="K1106"/>
  <c r="L1107"/>
  <c r="M1107"/>
  <c r="K1107"/>
  <c r="L1108"/>
  <c r="M1108"/>
  <c r="K1108"/>
  <c r="L1109"/>
  <c r="M1109"/>
  <c r="K1109"/>
  <c r="L1110"/>
  <c r="M1110"/>
  <c r="K1110"/>
  <c r="L1111"/>
  <c r="M1111"/>
  <c r="K1111"/>
  <c r="M957"/>
  <c r="N957" s="1"/>
  <c r="M958"/>
  <c r="N958" s="1"/>
  <c r="L947"/>
  <c r="M947"/>
  <c r="L948"/>
  <c r="M948"/>
  <c r="L949"/>
  <c r="M949"/>
  <c r="L950"/>
  <c r="M950"/>
  <c r="L951"/>
  <c r="M951"/>
  <c r="L952"/>
  <c r="M952"/>
  <c r="L953"/>
  <c r="M953"/>
  <c r="L888"/>
  <c r="M888"/>
  <c r="K888"/>
  <c r="L889"/>
  <c r="M889"/>
  <c r="K889"/>
  <c r="L890"/>
  <c r="M890"/>
  <c r="K890"/>
  <c r="L891"/>
  <c r="M891"/>
  <c r="K891"/>
  <c r="M896"/>
  <c r="N896" s="1"/>
  <c r="M897"/>
  <c r="N897" s="1"/>
  <c r="L929"/>
  <c r="N929" s="1"/>
  <c r="L930"/>
  <c r="N930" s="1"/>
  <c r="L931"/>
  <c r="N931" s="1"/>
  <c r="L836"/>
  <c r="M836"/>
  <c r="L837"/>
  <c r="M837"/>
  <c r="L838"/>
  <c r="M838"/>
  <c r="L839"/>
  <c r="M839"/>
  <c r="N840"/>
  <c r="M844"/>
  <c r="N844" s="1"/>
  <c r="M845"/>
  <c r="N845" s="1"/>
  <c r="N855"/>
  <c r="N856" s="1"/>
  <c r="N862"/>
  <c r="L869"/>
  <c r="N869" s="1"/>
  <c r="L873"/>
  <c r="N873" s="1"/>
  <c r="L932"/>
  <c r="K1030"/>
  <c r="D1030"/>
  <c r="K1024"/>
  <c r="D1024"/>
  <c r="D990"/>
  <c r="D989"/>
  <c r="M17"/>
  <c r="N17" s="1"/>
  <c r="M18"/>
  <c r="N18" s="1"/>
  <c r="K1031"/>
  <c r="D1031"/>
  <c r="K1029"/>
  <c r="D1029"/>
  <c r="K1025"/>
  <c r="D1025"/>
  <c r="K1023"/>
  <c r="D1023"/>
  <c r="L1019"/>
  <c r="K1015"/>
  <c r="D1015"/>
  <c r="K1014"/>
  <c r="D1014"/>
  <c r="K1013"/>
  <c r="D1013"/>
  <c r="K1008"/>
  <c r="D1008"/>
  <c r="K1007"/>
  <c r="D1007"/>
  <c r="K1006"/>
  <c r="D1006"/>
  <c r="D997"/>
  <c r="D996"/>
  <c r="D988"/>
  <c r="L784"/>
  <c r="M784"/>
  <c r="M755"/>
  <c r="M754"/>
  <c r="O755" s="1"/>
  <c r="O519"/>
  <c r="L472"/>
  <c r="N472" s="1"/>
  <c r="K472"/>
  <c r="D472"/>
  <c r="L468"/>
  <c r="N468" s="1"/>
  <c r="K468"/>
  <c r="D468"/>
  <c r="L427"/>
  <c r="K427"/>
  <c r="M427"/>
  <c r="L428"/>
  <c r="K428"/>
  <c r="M428"/>
  <c r="L429"/>
  <c r="K429"/>
  <c r="M429"/>
  <c r="L430"/>
  <c r="K430"/>
  <c r="M430"/>
  <c r="L431"/>
  <c r="K431"/>
  <c r="M431"/>
  <c r="L432"/>
  <c r="K432"/>
  <c r="M432"/>
  <c r="M437"/>
  <c r="N437" s="1"/>
  <c r="M438"/>
  <c r="N438" s="1"/>
  <c r="M456"/>
  <c r="N459"/>
  <c r="L463"/>
  <c r="K459"/>
  <c r="E459"/>
  <c r="D459"/>
  <c r="K458"/>
  <c r="D458"/>
  <c r="O457"/>
  <c r="K457"/>
  <c r="D457"/>
  <c r="K456"/>
  <c r="D456"/>
  <c r="K450"/>
  <c r="D450"/>
  <c r="K449"/>
  <c r="D449"/>
  <c r="K448"/>
  <c r="D448"/>
  <c r="K447"/>
  <c r="D447"/>
  <c r="D438"/>
  <c r="D437"/>
  <c r="D432"/>
  <c r="D431"/>
  <c r="D430"/>
  <c r="D429"/>
  <c r="D428"/>
  <c r="D427"/>
  <c r="O394"/>
  <c r="M375"/>
  <c r="N375" s="1"/>
  <c r="D375"/>
  <c r="M374"/>
  <c r="N374" s="1"/>
  <c r="D374"/>
  <c r="L369"/>
  <c r="K369"/>
  <c r="M369"/>
  <c r="D369"/>
  <c r="L368"/>
  <c r="K368"/>
  <c r="M368"/>
  <c r="D368"/>
  <c r="L367"/>
  <c r="K367"/>
  <c r="M367"/>
  <c r="D367"/>
  <c r="L366"/>
  <c r="K366"/>
  <c r="M366"/>
  <c r="D366"/>
  <c r="L365"/>
  <c r="K365"/>
  <c r="M365"/>
  <c r="D365"/>
  <c r="L364"/>
  <c r="K364"/>
  <c r="M364"/>
  <c r="D364"/>
  <c r="L238"/>
  <c r="M238"/>
  <c r="L239"/>
  <c r="M239"/>
  <c r="L240"/>
  <c r="M240"/>
  <c r="L241"/>
  <c r="M241"/>
  <c r="L242"/>
  <c r="M242"/>
  <c r="L243"/>
  <c r="M243"/>
  <c r="M248"/>
  <c r="N248" s="1"/>
  <c r="M249"/>
  <c r="N249" s="1"/>
  <c r="M29"/>
  <c r="M28"/>
  <c r="M27"/>
  <c r="M144"/>
  <c r="M143"/>
  <c r="M142"/>
  <c r="M141"/>
  <c r="L112"/>
  <c r="K112"/>
  <c r="M112"/>
  <c r="L49"/>
  <c r="K49"/>
  <c r="M49"/>
  <c r="L10"/>
  <c r="K10"/>
  <c r="M10"/>
  <c r="L1427"/>
  <c r="M1427"/>
  <c r="K34"/>
  <c r="D34"/>
  <c r="L880"/>
  <c r="L785"/>
  <c r="M785"/>
  <c r="L786"/>
  <c r="M786"/>
  <c r="L787"/>
  <c r="M787"/>
  <c r="M792"/>
  <c r="N792" s="1"/>
  <c r="M793"/>
  <c r="N793" s="1"/>
  <c r="L817"/>
  <c r="N817" s="1"/>
  <c r="L821"/>
  <c r="N821" s="1"/>
  <c r="L828"/>
  <c r="L50"/>
  <c r="M50"/>
  <c r="L51"/>
  <c r="M51"/>
  <c r="L52"/>
  <c r="M52"/>
  <c r="L53"/>
  <c r="M53"/>
  <c r="L54"/>
  <c r="M54"/>
  <c r="M59"/>
  <c r="N59" s="1"/>
  <c r="M60"/>
  <c r="N60" s="1"/>
  <c r="M78"/>
  <c r="M79"/>
  <c r="M80"/>
  <c r="M81"/>
  <c r="L90"/>
  <c r="N90" s="1"/>
  <c r="L94"/>
  <c r="N94" s="1"/>
  <c r="L113"/>
  <c r="M113"/>
  <c r="L114"/>
  <c r="M114"/>
  <c r="L115"/>
  <c r="M115"/>
  <c r="L116"/>
  <c r="M116"/>
  <c r="L117"/>
  <c r="M117"/>
  <c r="M122"/>
  <c r="N122" s="1"/>
  <c r="M123"/>
  <c r="N123" s="1"/>
  <c r="L153"/>
  <c r="N153" s="1"/>
  <c r="L157"/>
  <c r="N157" s="1"/>
  <c r="L11"/>
  <c r="M11"/>
  <c r="L12"/>
  <c r="M12"/>
  <c r="L13"/>
  <c r="M13"/>
  <c r="F7"/>
  <c r="M7"/>
  <c r="N7"/>
  <c r="D10"/>
  <c r="D11"/>
  <c r="K11"/>
  <c r="D12"/>
  <c r="K12"/>
  <c r="D13"/>
  <c r="K13"/>
  <c r="D17"/>
  <c r="D18"/>
  <c r="D27"/>
  <c r="K27"/>
  <c r="D28"/>
  <c r="K28"/>
  <c r="D29"/>
  <c r="K29"/>
  <c r="D35"/>
  <c r="E35"/>
  <c r="K35"/>
  <c r="F46"/>
  <c r="M46"/>
  <c r="N46"/>
  <c r="D49"/>
  <c r="D50"/>
  <c r="K50"/>
  <c r="D51"/>
  <c r="K51"/>
  <c r="D52"/>
  <c r="K52"/>
  <c r="D53"/>
  <c r="K53"/>
  <c r="D54"/>
  <c r="K54"/>
  <c r="D59"/>
  <c r="D60"/>
  <c r="D69"/>
  <c r="K69"/>
  <c r="D70"/>
  <c r="K70"/>
  <c r="D71"/>
  <c r="K71"/>
  <c r="D72"/>
  <c r="K72"/>
  <c r="D78"/>
  <c r="K78"/>
  <c r="D79"/>
  <c r="K79"/>
  <c r="D80"/>
  <c r="K80"/>
  <c r="D81"/>
  <c r="K81"/>
  <c r="L85"/>
  <c r="D90"/>
  <c r="K90"/>
  <c r="D94"/>
  <c r="K94"/>
  <c r="L95"/>
  <c r="L103"/>
  <c r="L104"/>
  <c r="F109"/>
  <c r="M109"/>
  <c r="N109"/>
  <c r="D112"/>
  <c r="D113"/>
  <c r="K113"/>
  <c r="D114"/>
  <c r="K114"/>
  <c r="D115"/>
  <c r="K115"/>
  <c r="D116"/>
  <c r="K116"/>
  <c r="D117"/>
  <c r="K117"/>
  <c r="D122"/>
  <c r="D123"/>
  <c r="D132"/>
  <c r="K132"/>
  <c r="D133"/>
  <c r="K133"/>
  <c r="D134"/>
  <c r="K134"/>
  <c r="D135"/>
  <c r="K135"/>
  <c r="D141"/>
  <c r="K141"/>
  <c r="D142"/>
  <c r="K142"/>
  <c r="D143"/>
  <c r="K143"/>
  <c r="D144"/>
  <c r="K144"/>
  <c r="L148"/>
  <c r="D153"/>
  <c r="K153"/>
  <c r="D157"/>
  <c r="K157"/>
  <c r="L158"/>
  <c r="L166"/>
  <c r="L167"/>
  <c r="F172"/>
  <c r="M172"/>
  <c r="N172"/>
  <c r="D175"/>
  <c r="K175"/>
  <c r="L175"/>
  <c r="M175"/>
  <c r="D176"/>
  <c r="K176"/>
  <c r="L176"/>
  <c r="M176"/>
  <c r="D177"/>
  <c r="K177"/>
  <c r="L177"/>
  <c r="M177"/>
  <c r="D178"/>
  <c r="K178"/>
  <c r="L178"/>
  <c r="M178"/>
  <c r="D179"/>
  <c r="K179"/>
  <c r="L179"/>
  <c r="M179"/>
  <c r="D180"/>
  <c r="K180"/>
  <c r="L180"/>
  <c r="M180"/>
  <c r="D185"/>
  <c r="M185"/>
  <c r="N185" s="1"/>
  <c r="D186"/>
  <c r="M186"/>
  <c r="N186" s="1"/>
  <c r="D195"/>
  <c r="K195"/>
  <c r="D196"/>
  <c r="K196"/>
  <c r="D197"/>
  <c r="K197"/>
  <c r="D198"/>
  <c r="K198"/>
  <c r="D204"/>
  <c r="K204"/>
  <c r="M204"/>
  <c r="D205"/>
  <c r="K205"/>
  <c r="M205"/>
  <c r="D206"/>
  <c r="K206"/>
  <c r="M206"/>
  <c r="D207"/>
  <c r="K207"/>
  <c r="M207"/>
  <c r="L211"/>
  <c r="D216"/>
  <c r="K216"/>
  <c r="L216"/>
  <c r="N216" s="1"/>
  <c r="D220"/>
  <c r="K220"/>
  <c r="L220"/>
  <c r="N220" s="1"/>
  <c r="L221"/>
  <c r="L229"/>
  <c r="L230"/>
  <c r="F235"/>
  <c r="M235"/>
  <c r="N235"/>
  <c r="D238"/>
  <c r="D239"/>
  <c r="D240"/>
  <c r="D241"/>
  <c r="D242"/>
  <c r="D243"/>
  <c r="D248"/>
  <c r="D249"/>
  <c r="D258"/>
  <c r="K258"/>
  <c r="D259"/>
  <c r="K259"/>
  <c r="D260"/>
  <c r="K260"/>
  <c r="D261"/>
  <c r="K261"/>
  <c r="D267"/>
  <c r="K267"/>
  <c r="M267"/>
  <c r="D268"/>
  <c r="K268"/>
  <c r="M268"/>
  <c r="D269"/>
  <c r="K269"/>
  <c r="M269"/>
  <c r="D270"/>
  <c r="K270"/>
  <c r="M270"/>
  <c r="L274"/>
  <c r="D279"/>
  <c r="K279"/>
  <c r="L279"/>
  <c r="N279" s="1"/>
  <c r="D283"/>
  <c r="K283"/>
  <c r="L283"/>
  <c r="N283" s="1"/>
  <c r="L284"/>
  <c r="L292"/>
  <c r="L293"/>
  <c r="F298"/>
  <c r="M298"/>
  <c r="N298"/>
  <c r="D301"/>
  <c r="K301"/>
  <c r="L301"/>
  <c r="M301"/>
  <c r="D302"/>
  <c r="K302"/>
  <c r="L302"/>
  <c r="M302"/>
  <c r="D303"/>
  <c r="K303"/>
  <c r="L303"/>
  <c r="M303"/>
  <c r="D304"/>
  <c r="K304"/>
  <c r="L304"/>
  <c r="M304"/>
  <c r="D305"/>
  <c r="K305"/>
  <c r="L305"/>
  <c r="M305"/>
  <c r="D306"/>
  <c r="K306"/>
  <c r="L306"/>
  <c r="M306"/>
  <c r="D311"/>
  <c r="M311"/>
  <c r="N311" s="1"/>
  <c r="D312"/>
  <c r="M312"/>
  <c r="N312" s="1"/>
  <c r="D321"/>
  <c r="K321"/>
  <c r="D322"/>
  <c r="K322"/>
  <c r="D323"/>
  <c r="K323"/>
  <c r="D324"/>
  <c r="K324"/>
  <c r="D330"/>
  <c r="K330"/>
  <c r="M330"/>
  <c r="D331"/>
  <c r="K331"/>
  <c r="M331"/>
  <c r="D332"/>
  <c r="K332"/>
  <c r="M332"/>
  <c r="D333"/>
  <c r="K333"/>
  <c r="M333"/>
  <c r="L337"/>
  <c r="D342"/>
  <c r="K342"/>
  <c r="L342"/>
  <c r="N342" s="1"/>
  <c r="D346"/>
  <c r="K346"/>
  <c r="L346"/>
  <c r="N346" s="1"/>
  <c r="L347"/>
  <c r="L355"/>
  <c r="L356"/>
  <c r="F361"/>
  <c r="M361"/>
  <c r="N361"/>
  <c r="D384"/>
  <c r="K384"/>
  <c r="D385"/>
  <c r="K385"/>
  <c r="D386"/>
  <c r="K386"/>
  <c r="D387"/>
  <c r="K387"/>
  <c r="D393"/>
  <c r="K393"/>
  <c r="M393"/>
  <c r="D394"/>
  <c r="K394"/>
  <c r="D395"/>
  <c r="K395"/>
  <c r="D396"/>
  <c r="E396"/>
  <c r="K396"/>
  <c r="L400"/>
  <c r="D405"/>
  <c r="K405"/>
  <c r="L405"/>
  <c r="N405" s="1"/>
  <c r="D409"/>
  <c r="K409"/>
  <c r="L409"/>
  <c r="N409" s="1"/>
  <c r="L410"/>
  <c r="L418"/>
  <c r="L419"/>
  <c r="F424"/>
  <c r="M424"/>
  <c r="N424"/>
  <c r="L473"/>
  <c r="L481"/>
  <c r="L482"/>
  <c r="F487"/>
  <c r="M487"/>
  <c r="N487"/>
  <c r="D490"/>
  <c r="L490"/>
  <c r="M490"/>
  <c r="D491"/>
  <c r="L491"/>
  <c r="M491"/>
  <c r="D492"/>
  <c r="L492"/>
  <c r="M492"/>
  <c r="D493"/>
  <c r="L493"/>
  <c r="M493"/>
  <c r="D494"/>
  <c r="L494"/>
  <c r="M494"/>
  <c r="D495"/>
  <c r="L495"/>
  <c r="M495"/>
  <c r="D500"/>
  <c r="M500"/>
  <c r="N500" s="1"/>
  <c r="D501"/>
  <c r="M501"/>
  <c r="N501" s="1"/>
  <c r="D510"/>
  <c r="K510"/>
  <c r="D511"/>
  <c r="K511"/>
  <c r="M511"/>
  <c r="D512"/>
  <c r="K512"/>
  <c r="D518"/>
  <c r="K518"/>
  <c r="M518"/>
  <c r="D519"/>
  <c r="K519"/>
  <c r="D520"/>
  <c r="K520"/>
  <c r="L524"/>
  <c r="D528"/>
  <c r="K528"/>
  <c r="L528"/>
  <c r="N528" s="1"/>
  <c r="D532"/>
  <c r="K532"/>
  <c r="L532"/>
  <c r="N532" s="1"/>
  <c r="L533"/>
  <c r="L541"/>
  <c r="L542"/>
  <c r="F547"/>
  <c r="M547"/>
  <c r="N547"/>
  <c r="D550"/>
  <c r="L550"/>
  <c r="M550"/>
  <c r="D551"/>
  <c r="L551"/>
  <c r="M551"/>
  <c r="D552"/>
  <c r="L552"/>
  <c r="M552"/>
  <c r="D553"/>
  <c r="L553"/>
  <c r="M553"/>
  <c r="D554"/>
  <c r="L554"/>
  <c r="M554"/>
  <c r="D555"/>
  <c r="L555"/>
  <c r="M555"/>
  <c r="D556"/>
  <c r="L556"/>
  <c r="M556"/>
  <c r="D557"/>
  <c r="L557"/>
  <c r="M557"/>
  <c r="D558"/>
  <c r="L558"/>
  <c r="M558"/>
  <c r="D563"/>
  <c r="M563"/>
  <c r="N563" s="1"/>
  <c r="D564"/>
  <c r="M564"/>
  <c r="N564" s="1"/>
  <c r="D573"/>
  <c r="K573"/>
  <c r="D580"/>
  <c r="K580"/>
  <c r="M580"/>
  <c r="K581"/>
  <c r="L585"/>
  <c r="D589"/>
  <c r="K589"/>
  <c r="L589"/>
  <c r="N589" s="1"/>
  <c r="L590"/>
  <c r="D593"/>
  <c r="K593"/>
  <c r="L593"/>
  <c r="N593" s="1"/>
  <c r="M593"/>
  <c r="L594"/>
  <c r="F605"/>
  <c r="M605"/>
  <c r="N605"/>
  <c r="D608"/>
  <c r="L608"/>
  <c r="M608"/>
  <c r="D609"/>
  <c r="L609"/>
  <c r="M609"/>
  <c r="D610"/>
  <c r="L610"/>
  <c r="M610"/>
  <c r="D611"/>
  <c r="L611"/>
  <c r="M611"/>
  <c r="D612"/>
  <c r="L612"/>
  <c r="M612"/>
  <c r="D613"/>
  <c r="L613"/>
  <c r="M613"/>
  <c r="D614"/>
  <c r="L614"/>
  <c r="M614"/>
  <c r="D615"/>
  <c r="L615"/>
  <c r="M615"/>
  <c r="D616"/>
  <c r="L616"/>
  <c r="M616"/>
  <c r="D621"/>
  <c r="M621"/>
  <c r="N621" s="1"/>
  <c r="D622"/>
  <c r="M622"/>
  <c r="N622" s="1"/>
  <c r="D631"/>
  <c r="K631"/>
  <c r="D638"/>
  <c r="K638"/>
  <c r="M638"/>
  <c r="L642"/>
  <c r="D646"/>
  <c r="K646"/>
  <c r="L646"/>
  <c r="N646" s="1"/>
  <c r="L647"/>
  <c r="D650"/>
  <c r="K650"/>
  <c r="L650"/>
  <c r="M650"/>
  <c r="L651"/>
  <c r="F662"/>
  <c r="M662"/>
  <c r="N662"/>
  <c r="D665"/>
  <c r="L665"/>
  <c r="M665"/>
  <c r="D666"/>
  <c r="L666"/>
  <c r="M666"/>
  <c r="D667"/>
  <c r="L667"/>
  <c r="M667"/>
  <c r="D668"/>
  <c r="L668"/>
  <c r="M668"/>
  <c r="D669"/>
  <c r="L669"/>
  <c r="M669"/>
  <c r="D670"/>
  <c r="L670"/>
  <c r="M670"/>
  <c r="D671"/>
  <c r="L671"/>
  <c r="M671"/>
  <c r="D672"/>
  <c r="L672"/>
  <c r="M672"/>
  <c r="D673"/>
  <c r="L673"/>
  <c r="M673"/>
  <c r="D676"/>
  <c r="M676"/>
  <c r="N676" s="1"/>
  <c r="D677"/>
  <c r="M677"/>
  <c r="N677" s="1"/>
  <c r="D686"/>
  <c r="K686"/>
  <c r="D687"/>
  <c r="K687"/>
  <c r="D688"/>
  <c r="K688"/>
  <c r="D689"/>
  <c r="K689"/>
  <c r="D694"/>
  <c r="K694"/>
  <c r="M694"/>
  <c r="D695"/>
  <c r="K695"/>
  <c r="M695"/>
  <c r="K696"/>
  <c r="L700"/>
  <c r="D704"/>
  <c r="K704"/>
  <c r="L704"/>
  <c r="N704" s="1"/>
  <c r="L705"/>
  <c r="D708"/>
  <c r="K708"/>
  <c r="L708"/>
  <c r="N708" s="1"/>
  <c r="L709"/>
  <c r="F720"/>
  <c r="M720"/>
  <c r="N720"/>
  <c r="D723"/>
  <c r="K723"/>
  <c r="L723"/>
  <c r="M723"/>
  <c r="D724"/>
  <c r="K724"/>
  <c r="L724"/>
  <c r="M724"/>
  <c r="D725"/>
  <c r="K725"/>
  <c r="L725"/>
  <c r="M725"/>
  <c r="D726"/>
  <c r="K726"/>
  <c r="L726"/>
  <c r="M726"/>
  <c r="D727"/>
  <c r="K727"/>
  <c r="L727"/>
  <c r="M727"/>
  <c r="D728"/>
  <c r="K728"/>
  <c r="L728"/>
  <c r="M728"/>
  <c r="D733"/>
  <c r="M733"/>
  <c r="N733" s="1"/>
  <c r="D734"/>
  <c r="M734"/>
  <c r="N734" s="1"/>
  <c r="D743"/>
  <c r="K743"/>
  <c r="D744"/>
  <c r="K744"/>
  <c r="D745"/>
  <c r="K745"/>
  <c r="D746"/>
  <c r="K746"/>
  <c r="D752"/>
  <c r="K752"/>
  <c r="D753"/>
  <c r="K753"/>
  <c r="D754"/>
  <c r="K754"/>
  <c r="D755"/>
  <c r="K755"/>
  <c r="L759"/>
  <c r="D764"/>
  <c r="K764"/>
  <c r="L764"/>
  <c r="N764" s="1"/>
  <c r="D768"/>
  <c r="K768"/>
  <c r="L768"/>
  <c r="N768" s="1"/>
  <c r="L769"/>
  <c r="L777"/>
  <c r="L778"/>
  <c r="F781"/>
  <c r="M781"/>
  <c r="N781"/>
  <c r="D784"/>
  <c r="D785"/>
  <c r="D786"/>
  <c r="D787"/>
  <c r="N788"/>
  <c r="D792"/>
  <c r="D793"/>
  <c r="N803"/>
  <c r="N804" s="1"/>
  <c r="N810"/>
  <c r="L813"/>
  <c r="D817"/>
  <c r="K817"/>
  <c r="L818"/>
  <c r="N818" s="1"/>
  <c r="N819" s="1"/>
  <c r="D821"/>
  <c r="K821"/>
  <c r="L822"/>
  <c r="F833"/>
  <c r="M833"/>
  <c r="N833"/>
  <c r="D836"/>
  <c r="D837"/>
  <c r="D838"/>
  <c r="D839"/>
  <c r="D844"/>
  <c r="D845"/>
  <c r="L865"/>
  <c r="D869"/>
  <c r="K869"/>
  <c r="L870"/>
  <c r="D873"/>
  <c r="K873"/>
  <c r="L874"/>
  <c r="F885"/>
  <c r="M885"/>
  <c r="N885"/>
  <c r="D888"/>
  <c r="D889"/>
  <c r="D890"/>
  <c r="D891"/>
  <c r="D896"/>
  <c r="D897"/>
  <c r="D906"/>
  <c r="K906"/>
  <c r="D907"/>
  <c r="K907"/>
  <c r="D908"/>
  <c r="K908"/>
  <c r="D913"/>
  <c r="K913"/>
  <c r="D914"/>
  <c r="K914"/>
  <c r="D915"/>
  <c r="K915"/>
  <c r="L919"/>
  <c r="D923"/>
  <c r="K923"/>
  <c r="D924"/>
  <c r="K924"/>
  <c r="D925"/>
  <c r="K925"/>
  <c r="D929"/>
  <c r="K929"/>
  <c r="D930"/>
  <c r="K930"/>
  <c r="D931"/>
  <c r="K931"/>
  <c r="F944"/>
  <c r="M944"/>
  <c r="N944"/>
  <c r="D947"/>
  <c r="D948"/>
  <c r="D949"/>
  <c r="D950"/>
  <c r="D951"/>
  <c r="D952"/>
  <c r="D953"/>
  <c r="D957"/>
  <c r="D958"/>
  <c r="D967"/>
  <c r="K967"/>
  <c r="D968"/>
  <c r="K968"/>
  <c r="D969"/>
  <c r="K969"/>
  <c r="D974"/>
  <c r="K974"/>
  <c r="F985"/>
  <c r="M985"/>
  <c r="N985"/>
  <c r="F1044"/>
  <c r="M1044"/>
  <c r="N1044"/>
  <c r="F1103"/>
  <c r="M1103"/>
  <c r="N1103"/>
  <c r="D1106"/>
  <c r="D1107"/>
  <c r="D1108"/>
  <c r="D1109"/>
  <c r="D1110"/>
  <c r="D1111"/>
  <c r="D1115"/>
  <c r="D1116"/>
  <c r="D1125"/>
  <c r="K1125"/>
  <c r="D1126"/>
  <c r="K1126"/>
  <c r="D1127"/>
  <c r="K1127"/>
  <c r="D1132"/>
  <c r="K1132"/>
  <c r="F1143"/>
  <c r="M1143"/>
  <c r="N1143"/>
  <c r="D1146"/>
  <c r="D1147"/>
  <c r="D1148"/>
  <c r="D1149"/>
  <c r="D1150"/>
  <c r="D1151"/>
  <c r="D1152"/>
  <c r="D1156"/>
  <c r="D1157"/>
  <c r="D1166"/>
  <c r="K1166"/>
  <c r="D1171"/>
  <c r="K1171"/>
  <c r="F1182"/>
  <c r="M1182"/>
  <c r="N1182"/>
  <c r="D1195"/>
  <c r="D1196"/>
  <c r="D1206"/>
  <c r="K1206"/>
  <c r="D1207"/>
  <c r="K1207"/>
  <c r="D1212"/>
  <c r="K1212"/>
  <c r="F1223"/>
  <c r="M1223"/>
  <c r="N1223"/>
  <c r="D1226"/>
  <c r="D1227"/>
  <c r="D1228"/>
  <c r="D1229"/>
  <c r="D1230"/>
  <c r="D1231"/>
  <c r="D1232"/>
  <c r="D1236"/>
  <c r="D1237"/>
  <c r="D1253"/>
  <c r="K1253"/>
  <c r="F1264"/>
  <c r="M1264"/>
  <c r="N1264"/>
  <c r="D1267"/>
  <c r="D1268"/>
  <c r="D1269"/>
  <c r="D1270"/>
  <c r="D1271"/>
  <c r="D1275"/>
  <c r="D1276"/>
  <c r="D1285"/>
  <c r="K1285"/>
  <c r="N1286"/>
  <c r="N1287"/>
  <c r="D1292"/>
  <c r="K1292"/>
  <c r="D1293"/>
  <c r="K1293"/>
  <c r="D1294"/>
  <c r="K1294"/>
  <c r="F1304"/>
  <c r="M1304"/>
  <c r="N1304"/>
  <c r="D1307"/>
  <c r="D1308"/>
  <c r="D1309"/>
  <c r="D1310"/>
  <c r="D1311"/>
  <c r="D1315"/>
  <c r="D1316"/>
  <c r="D1325"/>
  <c r="K1325"/>
  <c r="N1326"/>
  <c r="N1327"/>
  <c r="D1332"/>
  <c r="K1332"/>
  <c r="F1344"/>
  <c r="M1344"/>
  <c r="N1344"/>
  <c r="D1347"/>
  <c r="D1348"/>
  <c r="D1349"/>
  <c r="D1350"/>
  <c r="D1351"/>
  <c r="D1352"/>
  <c r="D1356"/>
  <c r="D1357"/>
  <c r="D1365"/>
  <c r="K1365"/>
  <c r="N1366"/>
  <c r="N1367"/>
  <c r="D1372"/>
  <c r="K1372"/>
  <c r="D1373"/>
  <c r="K1373"/>
  <c r="D1374"/>
  <c r="K1374"/>
  <c r="F1384"/>
  <c r="M1384"/>
  <c r="N1384"/>
  <c r="D1387"/>
  <c r="D1388"/>
  <c r="D1389"/>
  <c r="D1390"/>
  <c r="D1391"/>
  <c r="D1395"/>
  <c r="D1396"/>
  <c r="D1405"/>
  <c r="K1405"/>
  <c r="D1406"/>
  <c r="K1406"/>
  <c r="N1407"/>
  <c r="D1412"/>
  <c r="K1412"/>
  <c r="D1413"/>
  <c r="K1413"/>
  <c r="F1424"/>
  <c r="M1424"/>
  <c r="N1424"/>
  <c r="D1427"/>
  <c r="D1428"/>
  <c r="L1428"/>
  <c r="M1428"/>
  <c r="D1429"/>
  <c r="L1429"/>
  <c r="M1429"/>
  <c r="D1431"/>
  <c r="L1431"/>
  <c r="M1431"/>
  <c r="D1432"/>
  <c r="L1432"/>
  <c r="M1432"/>
  <c r="D1436"/>
  <c r="M1436"/>
  <c r="N1436" s="1"/>
  <c r="D1437"/>
  <c r="M1437"/>
  <c r="N1437" s="1"/>
  <c r="D1446"/>
  <c r="K1446"/>
  <c r="D1447"/>
  <c r="K1447"/>
  <c r="D1448"/>
  <c r="K1448"/>
  <c r="D1453"/>
  <c r="K1453"/>
  <c r="D1454"/>
  <c r="K1454"/>
  <c r="D1455"/>
  <c r="K1455"/>
  <c r="L1459"/>
  <c r="D1463"/>
  <c r="K1463"/>
  <c r="L1463"/>
  <c r="N1463" s="1"/>
  <c r="L1464"/>
  <c r="D1467"/>
  <c r="K1467"/>
  <c r="L1467"/>
  <c r="N1467" s="1"/>
  <c r="L1468"/>
  <c r="F1480"/>
  <c r="M1480"/>
  <c r="N1480"/>
  <c r="D1483"/>
  <c r="D1484"/>
  <c r="D1485"/>
  <c r="D1486"/>
  <c r="D1487"/>
  <c r="D1491"/>
  <c r="D1492"/>
  <c r="D1501"/>
  <c r="K1501"/>
  <c r="D1502"/>
  <c r="K1502"/>
  <c r="N1503"/>
  <c r="D1508"/>
  <c r="K1508"/>
  <c r="D1509"/>
  <c r="K1509"/>
  <c r="F1520"/>
  <c r="M1520"/>
  <c r="N1520"/>
  <c r="D1523"/>
  <c r="D1524"/>
  <c r="D1525"/>
  <c r="D1526"/>
  <c r="D1527"/>
  <c r="D1528"/>
  <c r="D1529"/>
  <c r="D1530"/>
  <c r="D1534"/>
  <c r="D1535"/>
  <c r="D1544"/>
  <c r="K1544"/>
  <c r="D1545"/>
  <c r="K1545"/>
  <c r="D1546"/>
  <c r="K1546"/>
  <c r="D1547"/>
  <c r="K1547"/>
  <c r="D1552"/>
  <c r="K1552"/>
  <c r="D1553"/>
  <c r="K1553"/>
  <c r="L1558"/>
  <c r="D1562"/>
  <c r="K1562"/>
  <c r="D1566"/>
  <c r="K1566"/>
  <c r="L1574"/>
  <c r="F1579"/>
  <c r="M1579"/>
  <c r="N1579"/>
  <c r="D1582"/>
  <c r="D1583"/>
  <c r="D1584"/>
  <c r="D1585"/>
  <c r="D1586"/>
  <c r="D1590"/>
  <c r="D1591"/>
  <c r="D1600"/>
  <c r="K1600"/>
  <c r="N1601"/>
  <c r="D1606"/>
  <c r="K1606"/>
  <c r="D1607"/>
  <c r="K1607"/>
  <c r="F1618"/>
  <c r="M1618"/>
  <c r="N1618"/>
  <c r="D1621"/>
  <c r="D1622"/>
  <c r="D1623"/>
  <c r="D1624"/>
  <c r="D1625"/>
  <c r="D1629"/>
  <c r="D1630"/>
  <c r="D1639"/>
  <c r="K1639"/>
  <c r="D1640"/>
  <c r="K1640"/>
  <c r="N1641"/>
  <c r="D1646"/>
  <c r="K1646"/>
  <c r="D1647"/>
  <c r="K1647"/>
  <c r="F1658"/>
  <c r="M1658"/>
  <c r="N1658"/>
  <c r="D1661"/>
  <c r="D1662"/>
  <c r="D1663"/>
  <c r="D1664"/>
  <c r="D1665"/>
  <c r="D1669"/>
  <c r="D1670"/>
  <c r="D1679"/>
  <c r="K1679"/>
  <c r="D1680"/>
  <c r="K1680"/>
  <c r="D1686"/>
  <c r="K1686"/>
  <c r="D1687"/>
  <c r="K1687"/>
  <c r="F1699"/>
  <c r="M1699"/>
  <c r="N1699"/>
  <c r="D1702"/>
  <c r="D1703"/>
  <c r="D1704"/>
  <c r="D1705"/>
  <c r="D1706"/>
  <c r="D1707"/>
  <c r="D1708"/>
  <c r="D1712"/>
  <c r="D1713"/>
  <c r="D1714"/>
  <c r="D1723"/>
  <c r="K1723"/>
  <c r="D1724"/>
  <c r="K1724"/>
  <c r="D1725"/>
  <c r="K1725"/>
  <c r="D1730"/>
  <c r="K1730"/>
  <c r="N396"/>
  <c r="L1317" l="1"/>
  <c r="N1317" s="1"/>
  <c r="N1318" s="1"/>
  <c r="L951" i="12"/>
  <c r="N951" s="1"/>
  <c r="N961" s="1"/>
  <c r="L135" i="4"/>
  <c r="N135" s="1"/>
  <c r="L197"/>
  <c r="N197" s="1"/>
  <c r="L449"/>
  <c r="N449" s="1"/>
  <c r="L745"/>
  <c r="N745" s="1"/>
  <c r="L779" i="12"/>
  <c r="N779" s="1"/>
  <c r="N782" s="1"/>
  <c r="L198" i="4"/>
  <c r="N198" s="1"/>
  <c r="L260"/>
  <c r="N260" s="1"/>
  <c r="L386"/>
  <c r="N386" s="1"/>
  <c r="L746"/>
  <c r="N746" s="1"/>
  <c r="L1257" i="12"/>
  <c r="N1257" s="1"/>
  <c r="L511" i="4"/>
  <c r="N511" s="1"/>
  <c r="L71"/>
  <c r="N71" s="1"/>
  <c r="L261"/>
  <c r="N261" s="1"/>
  <c r="L1253"/>
  <c r="N1253" s="1"/>
  <c r="N1255" s="1"/>
  <c r="N558"/>
  <c r="N1390"/>
  <c r="N242"/>
  <c r="N240"/>
  <c r="N934" i="12"/>
  <c r="N677"/>
  <c r="N27" i="4"/>
  <c r="N870"/>
  <c r="N871" s="1"/>
  <c r="N765"/>
  <c r="N766" s="1"/>
  <c r="N594"/>
  <c r="N595" s="1"/>
  <c r="N1049"/>
  <c r="N557"/>
  <c r="N517" i="12"/>
  <c r="N515"/>
  <c r="N513"/>
  <c r="N493" i="4"/>
  <c r="L124"/>
  <c r="N124" s="1"/>
  <c r="N125" s="1"/>
  <c r="N800" i="12"/>
  <c r="N635"/>
  <c r="N407"/>
  <c r="N842"/>
  <c r="N1241"/>
  <c r="N1237"/>
  <c r="N1235"/>
  <c r="N49" i="4"/>
  <c r="N366"/>
  <c r="L646" i="12"/>
  <c r="N646" s="1"/>
  <c r="N615" i="4"/>
  <c r="N555"/>
  <c r="N551"/>
  <c r="N305"/>
  <c r="N304"/>
  <c r="N303"/>
  <c r="N302"/>
  <c r="N301"/>
  <c r="L187"/>
  <c r="N187" s="1"/>
  <c r="N188" s="1"/>
  <c r="N803" i="12"/>
  <c r="N802"/>
  <c r="N801"/>
  <c r="N681"/>
  <c r="N196"/>
  <c r="N235"/>
  <c r="N317"/>
  <c r="N650" i="4"/>
  <c r="N651" s="1"/>
  <c r="N652" s="1"/>
  <c r="N28"/>
  <c r="N1702"/>
  <c r="N1621"/>
  <c r="N1584"/>
  <c r="N721" i="12"/>
  <c r="N640"/>
  <c r="N636"/>
  <c r="N358"/>
  <c r="N512"/>
  <c r="L1212" i="4"/>
  <c r="N1212" s="1"/>
  <c r="N1214" s="1"/>
  <c r="N158"/>
  <c r="N116"/>
  <c r="N787"/>
  <c r="N558" i="12"/>
  <c r="N556"/>
  <c r="N769" i="4"/>
  <c r="N770" s="1"/>
  <c r="N217"/>
  <c r="N218" s="1"/>
  <c r="N431"/>
  <c r="N427"/>
  <c r="N1351"/>
  <c r="N1347"/>
  <c r="N1484"/>
  <c r="N1021" i="12"/>
  <c r="L771"/>
  <c r="N771" s="1"/>
  <c r="N772" s="1"/>
  <c r="L729"/>
  <c r="N729" s="1"/>
  <c r="N730" s="1"/>
  <c r="N720"/>
  <c r="N12"/>
  <c r="N10"/>
  <c r="N6"/>
  <c r="N318"/>
  <c r="N51"/>
  <c r="N47"/>
  <c r="L267" i="4"/>
  <c r="N267" s="1"/>
  <c r="L1553"/>
  <c r="N1553" s="1"/>
  <c r="L1606"/>
  <c r="N1606" s="1"/>
  <c r="N1609" s="1"/>
  <c r="N785"/>
  <c r="N1199" i="12"/>
  <c r="N1236"/>
  <c r="L914" i="4"/>
  <c r="N914" s="1"/>
  <c r="N1432"/>
  <c r="N671"/>
  <c r="N667"/>
  <c r="N280"/>
  <c r="N281" s="1"/>
  <c r="N1485"/>
  <c r="N1483"/>
  <c r="N1060" i="12"/>
  <c r="N1023"/>
  <c r="N984"/>
  <c r="N764"/>
  <c r="N676"/>
  <c r="L286"/>
  <c r="N286" s="1"/>
  <c r="N287" s="1"/>
  <c r="L204"/>
  <c r="N204" s="1"/>
  <c r="N205" s="1"/>
  <c r="N886"/>
  <c r="N884"/>
  <c r="N882"/>
  <c r="N1155"/>
  <c r="L143" i="4"/>
  <c r="N143" s="1"/>
  <c r="L141"/>
  <c r="N141" s="1"/>
  <c r="L268"/>
  <c r="N268" s="1"/>
  <c r="L394"/>
  <c r="N394" s="1"/>
  <c r="L518"/>
  <c r="N518" s="1"/>
  <c r="L580"/>
  <c r="N580" s="1"/>
  <c r="N582" s="1"/>
  <c r="L694"/>
  <c r="N694" s="1"/>
  <c r="N612"/>
  <c r="N11"/>
  <c r="N839"/>
  <c r="N949"/>
  <c r="N1091"/>
  <c r="N1092" s="1"/>
  <c r="L419" i="12"/>
  <c r="N419" s="1"/>
  <c r="N420" s="1"/>
  <c r="N156"/>
  <c r="N154"/>
  <c r="N198"/>
  <c r="N1194"/>
  <c r="L205" i="4"/>
  <c r="N205" s="1"/>
  <c r="N1468"/>
  <c r="N1469" s="1"/>
  <c r="L623"/>
  <c r="N623" s="1"/>
  <c r="N624" s="1"/>
  <c r="N613"/>
  <c r="N609"/>
  <c r="N54"/>
  <c r="N50"/>
  <c r="L959"/>
  <c r="N959" s="1"/>
  <c r="N960" s="1"/>
  <c r="N1110"/>
  <c r="N1106"/>
  <c r="N1150"/>
  <c r="N1146"/>
  <c r="N1032"/>
  <c r="N1033" s="1"/>
  <c r="L687" i="12"/>
  <c r="N687" s="1"/>
  <c r="N688" s="1"/>
  <c r="N678"/>
  <c r="N638"/>
  <c r="N634"/>
  <c r="N412"/>
  <c r="N411"/>
  <c r="L18"/>
  <c r="N18" s="1"/>
  <c r="N19" s="1"/>
  <c r="L327"/>
  <c r="N327" s="1"/>
  <c r="N328" s="1"/>
  <c r="N320"/>
  <c r="L482"/>
  <c r="N482" s="1"/>
  <c r="N483" s="1"/>
  <c r="N476"/>
  <c r="L144" i="4"/>
  <c r="N144" s="1"/>
  <c r="L142"/>
  <c r="N142" s="1"/>
  <c r="L269"/>
  <c r="N269" s="1"/>
  <c r="L395"/>
  <c r="N395" s="1"/>
  <c r="L393"/>
  <c r="N393" s="1"/>
  <c r="L519"/>
  <c r="N519" s="1"/>
  <c r="L695"/>
  <c r="N695" s="1"/>
  <c r="N1217" i="12"/>
  <c r="L1374" i="4"/>
  <c r="N1374" s="1"/>
  <c r="L1372"/>
  <c r="N1372" s="1"/>
  <c r="N1726"/>
  <c r="L1158"/>
  <c r="N1158" s="1"/>
  <c r="N1159" s="1"/>
  <c r="N723"/>
  <c r="N590"/>
  <c r="N591" s="1"/>
  <c r="L502"/>
  <c r="N502" s="1"/>
  <c r="N503" s="1"/>
  <c r="N1708"/>
  <c r="N1048"/>
  <c r="N1662"/>
  <c r="N238" i="12"/>
  <c r="N234"/>
  <c r="L207" i="4"/>
  <c r="N207" s="1"/>
  <c r="L457"/>
  <c r="N457" s="1"/>
  <c r="L313"/>
  <c r="N313" s="1"/>
  <c r="N314" s="1"/>
  <c r="N284"/>
  <c r="N285" s="1"/>
  <c r="N180"/>
  <c r="N179"/>
  <c r="N178"/>
  <c r="N113"/>
  <c r="N91"/>
  <c r="N92" s="1"/>
  <c r="L794"/>
  <c r="N794" s="1"/>
  <c r="N795" s="1"/>
  <c r="N1427"/>
  <c r="N243"/>
  <c r="N241"/>
  <c r="N430"/>
  <c r="N836"/>
  <c r="N888"/>
  <c r="N952"/>
  <c r="N1387"/>
  <c r="N1567"/>
  <c r="N1568" s="1"/>
  <c r="L1197"/>
  <c r="N1197" s="1"/>
  <c r="N1198" s="1"/>
  <c r="N1663"/>
  <c r="N1661"/>
  <c r="L810" i="12"/>
  <c r="N810" s="1"/>
  <c r="N811" s="1"/>
  <c r="N760"/>
  <c r="N759"/>
  <c r="N717"/>
  <c r="N680"/>
  <c r="N410"/>
  <c r="N409"/>
  <c r="N408"/>
  <c r="N280"/>
  <c r="N276"/>
  <c r="N11"/>
  <c r="N239"/>
  <c r="N319"/>
  <c r="N553"/>
  <c r="L59"/>
  <c r="N59" s="1"/>
  <c r="N60" s="1"/>
  <c r="N1104"/>
  <c r="N1159"/>
  <c r="N1238"/>
  <c r="L100"/>
  <c r="N100" s="1"/>
  <c r="N101" s="1"/>
  <c r="L523"/>
  <c r="N523" s="1"/>
  <c r="N524" s="1"/>
  <c r="N1428" i="4"/>
  <c r="N725"/>
  <c r="N724"/>
  <c r="N709"/>
  <c r="N710" s="1"/>
  <c r="L678"/>
  <c r="N678" s="1"/>
  <c r="N679" s="1"/>
  <c r="N673"/>
  <c r="N669"/>
  <c r="N668"/>
  <c r="N665"/>
  <c r="N495"/>
  <c r="N492"/>
  <c r="N491"/>
  <c r="N53"/>
  <c r="N786"/>
  <c r="N112"/>
  <c r="N239"/>
  <c r="N429"/>
  <c r="N891"/>
  <c r="N951"/>
  <c r="N1109"/>
  <c r="N1149"/>
  <c r="N1308"/>
  <c r="N1350"/>
  <c r="N1391"/>
  <c r="N1389"/>
  <c r="N1705"/>
  <c r="N1625"/>
  <c r="N1586"/>
  <c r="N1047"/>
  <c r="N1228"/>
  <c r="N1232"/>
  <c r="N1188"/>
  <c r="N1226"/>
  <c r="N1022" i="12"/>
  <c r="N763"/>
  <c r="N279"/>
  <c r="N275"/>
  <c r="N157"/>
  <c r="N155"/>
  <c r="N151"/>
  <c r="N197"/>
  <c r="N192"/>
  <c r="N844"/>
  <c r="N554"/>
  <c r="N1065"/>
  <c r="N1063"/>
  <c r="N92"/>
  <c r="N53"/>
  <c r="N881"/>
  <c r="N1103"/>
  <c r="N1200"/>
  <c r="N1198"/>
  <c r="N1196"/>
  <c r="L270" i="4"/>
  <c r="N270" s="1"/>
  <c r="L332"/>
  <c r="N332" s="1"/>
  <c r="L330"/>
  <c r="N330" s="1"/>
  <c r="L755"/>
  <c r="N755" s="1"/>
  <c r="L753"/>
  <c r="N753" s="1"/>
  <c r="N616" i="12"/>
  <c r="L1132" i="4"/>
  <c r="N1132" s="1"/>
  <c r="N1134" s="1"/>
  <c r="L1333"/>
  <c r="N1333" s="1"/>
  <c r="L1453"/>
  <c r="N1453" s="1"/>
  <c r="N1456" s="1"/>
  <c r="N159"/>
  <c r="N367"/>
  <c r="N368"/>
  <c r="N369"/>
  <c r="N432"/>
  <c r="N428"/>
  <c r="L898"/>
  <c r="N898" s="1"/>
  <c r="N899" s="1"/>
  <c r="N953"/>
  <c r="N1108"/>
  <c r="L1117"/>
  <c r="N1117" s="1"/>
  <c r="N1118" s="1"/>
  <c r="L1277"/>
  <c r="N1277" s="1"/>
  <c r="N1278" s="1"/>
  <c r="N1311"/>
  <c r="N1486"/>
  <c r="N1622"/>
  <c r="N1527"/>
  <c r="L1238"/>
  <c r="N1238" s="1"/>
  <c r="N1239" s="1"/>
  <c r="N1523"/>
  <c r="N1664"/>
  <c r="L941" i="12"/>
  <c r="N941" s="1"/>
  <c r="N942" s="1"/>
  <c r="N932"/>
  <c r="N931"/>
  <c r="N930"/>
  <c r="N929"/>
  <c r="N762"/>
  <c r="N599"/>
  <c r="N595"/>
  <c r="N356"/>
  <c r="N278"/>
  <c r="N274"/>
  <c r="N194"/>
  <c r="N321"/>
  <c r="N511"/>
  <c r="N575"/>
  <c r="L1072"/>
  <c r="N1072" s="1"/>
  <c r="N1073" s="1"/>
  <c r="N91"/>
  <c r="N1128" i="4"/>
  <c r="N493" i="12"/>
  <c r="N1449" i="4"/>
  <c r="N29" i="12"/>
  <c r="N1431" i="4"/>
  <c r="N670"/>
  <c r="N666"/>
  <c r="N614"/>
  <c r="N611"/>
  <c r="N610"/>
  <c r="N552"/>
  <c r="N473"/>
  <c r="N474" s="1"/>
  <c r="N238"/>
  <c r="N874"/>
  <c r="N875" s="1"/>
  <c r="O931"/>
  <c r="N1111"/>
  <c r="N1107"/>
  <c r="N1530"/>
  <c r="N1526"/>
  <c r="L1030" i="12"/>
  <c r="N1030" s="1"/>
  <c r="N1031" s="1"/>
  <c r="N761"/>
  <c r="N758"/>
  <c r="N718"/>
  <c r="N716"/>
  <c r="N679"/>
  <c r="N675"/>
  <c r="N598"/>
  <c r="N594"/>
  <c r="N355"/>
  <c r="N316"/>
  <c r="N277"/>
  <c r="N9"/>
  <c r="N7"/>
  <c r="L163"/>
  <c r="N163" s="1"/>
  <c r="N164" s="1"/>
  <c r="N237"/>
  <c r="N233"/>
  <c r="N843"/>
  <c r="N470"/>
  <c r="L564"/>
  <c r="N564" s="1"/>
  <c r="N565" s="1"/>
  <c r="N557"/>
  <c r="N555"/>
  <c r="N52"/>
  <c r="N48"/>
  <c r="L893"/>
  <c r="N893" s="1"/>
  <c r="N894" s="1"/>
  <c r="N1156"/>
  <c r="N1197"/>
  <c r="N1195"/>
  <c r="L34" i="4"/>
  <c r="N34" s="1"/>
  <c r="N36" s="1"/>
  <c r="L80"/>
  <c r="N80" s="1"/>
  <c r="L78"/>
  <c r="N78" s="1"/>
  <c r="L520"/>
  <c r="N520" s="1"/>
  <c r="L638"/>
  <c r="N638" s="1"/>
  <c r="N639" s="1"/>
  <c r="L1332"/>
  <c r="N1332" s="1"/>
  <c r="N70" i="12"/>
  <c r="L1552" i="4"/>
  <c r="N1552" s="1"/>
  <c r="N534" i="12"/>
  <c r="N113"/>
  <c r="N657"/>
  <c r="N1511" i="4"/>
  <c r="N1041" i="12"/>
  <c r="N672" i="4"/>
  <c r="N1189"/>
  <c r="N928" i="12"/>
  <c r="N722"/>
  <c r="N1154"/>
  <c r="N1176"/>
  <c r="L915" i="4"/>
  <c r="N915" s="1"/>
  <c r="N608"/>
  <c r="N554"/>
  <c r="N550"/>
  <c r="N494"/>
  <c r="N490"/>
  <c r="N306"/>
  <c r="N177"/>
  <c r="N13"/>
  <c r="N29"/>
  <c r="N364"/>
  <c r="N950"/>
  <c r="N948"/>
  <c r="N1269"/>
  <c r="N1307"/>
  <c r="N1349"/>
  <c r="N1388"/>
  <c r="N1487"/>
  <c r="N1707"/>
  <c r="N1704"/>
  <c r="N1624"/>
  <c r="N1585"/>
  <c r="N1583"/>
  <c r="N989"/>
  <c r="N1230"/>
  <c r="N1186"/>
  <c r="N1190"/>
  <c r="N1430"/>
  <c r="N1061" i="12"/>
  <c r="N841"/>
  <c r="N639"/>
  <c r="N472"/>
  <c r="N153"/>
  <c r="N8"/>
  <c r="N94"/>
  <c r="N90"/>
  <c r="N880"/>
  <c r="N1102"/>
  <c r="N1158"/>
  <c r="L206" i="4"/>
  <c r="N206" s="1"/>
  <c r="L204"/>
  <c r="N204" s="1"/>
  <c r="L458"/>
  <c r="N458" s="1"/>
  <c r="L456"/>
  <c r="N456" s="1"/>
  <c r="L754"/>
  <c r="N754" s="1"/>
  <c r="L752"/>
  <c r="N752" s="1"/>
  <c r="L1171"/>
  <c r="N1171" s="1"/>
  <c r="N1173" s="1"/>
  <c r="N256" i="12"/>
  <c r="N556" i="4"/>
  <c r="N990"/>
  <c r="N1229"/>
  <c r="N1185"/>
  <c r="N474" i="12"/>
  <c r="N1240"/>
  <c r="L913" i="4"/>
  <c r="N913" s="1"/>
  <c r="L1293"/>
  <c r="N1293" s="1"/>
  <c r="L1412"/>
  <c r="N1412" s="1"/>
  <c r="N1649"/>
  <c r="N1429"/>
  <c r="N728"/>
  <c r="N727"/>
  <c r="N726"/>
  <c r="N616"/>
  <c r="N553"/>
  <c r="N176"/>
  <c r="N175"/>
  <c r="N52"/>
  <c r="N117"/>
  <c r="N837"/>
  <c r="N889"/>
  <c r="N947"/>
  <c r="N1151"/>
  <c r="N1147"/>
  <c r="N1310"/>
  <c r="N1352"/>
  <c r="N1348"/>
  <c r="N1706"/>
  <c r="N1703"/>
  <c r="N1528"/>
  <c r="N1524"/>
  <c r="N988"/>
  <c r="N1227"/>
  <c r="N1231"/>
  <c r="N1187"/>
  <c r="N1191"/>
  <c r="N1024" i="12"/>
  <c r="N1020"/>
  <c r="N982"/>
  <c r="N981"/>
  <c r="N980"/>
  <c r="N804"/>
  <c r="N719"/>
  <c r="N637"/>
  <c r="N597"/>
  <c r="N596"/>
  <c r="N593"/>
  <c r="N315"/>
  <c r="N1066"/>
  <c r="N1064"/>
  <c r="N1062"/>
  <c r="N93"/>
  <c r="N89"/>
  <c r="N49"/>
  <c r="N885"/>
  <c r="N883"/>
  <c r="N1101"/>
  <c r="N1157"/>
  <c r="L81" i="4"/>
  <c r="N81" s="1"/>
  <c r="L79"/>
  <c r="N79" s="1"/>
  <c r="L333"/>
  <c r="N333" s="1"/>
  <c r="L331"/>
  <c r="N331" s="1"/>
  <c r="L974"/>
  <c r="N974" s="1"/>
  <c r="N976" s="1"/>
  <c r="L1294"/>
  <c r="N1294" s="1"/>
  <c r="L1292"/>
  <c r="N1292" s="1"/>
  <c r="L1373"/>
  <c r="N1373" s="1"/>
  <c r="L1413"/>
  <c r="N1413" s="1"/>
  <c r="L1715"/>
  <c r="N1715" s="1"/>
  <c r="N1716" s="1"/>
  <c r="L846"/>
  <c r="N846" s="1"/>
  <c r="N847" s="1"/>
  <c r="L1438"/>
  <c r="N1438" s="1"/>
  <c r="N1439" s="1"/>
  <c r="L250"/>
  <c r="N250" s="1"/>
  <c r="N251" s="1"/>
  <c r="L1493"/>
  <c r="N1493" s="1"/>
  <c r="N1494" s="1"/>
  <c r="L1671"/>
  <c r="N1671" s="1"/>
  <c r="N1672" s="1"/>
  <c r="N822"/>
  <c r="N823" s="1"/>
  <c r="N824" s="1"/>
  <c r="N1563"/>
  <c r="N1564" s="1"/>
  <c r="N1464"/>
  <c r="N1465" s="1"/>
  <c r="N410"/>
  <c r="N411" s="1"/>
  <c r="L376"/>
  <c r="N376" s="1"/>
  <c r="N377" s="1"/>
  <c r="L605" i="12"/>
  <c r="N605" s="1"/>
  <c r="N606" s="1"/>
  <c r="N95" i="4"/>
  <c r="N96" s="1"/>
  <c r="N449" i="12"/>
  <c r="N450" s="1"/>
  <c r="N1085" i="4"/>
  <c r="N1086" s="1"/>
  <c r="N1135" i="12"/>
  <c r="N1136" s="1"/>
  <c r="N1141" s="1"/>
  <c r="L1206"/>
  <c r="N1206" s="1"/>
  <c r="N1207" s="1"/>
  <c r="L1247"/>
  <c r="N1247" s="1"/>
  <c r="N1248" s="1"/>
  <c r="L1631" i="4"/>
  <c r="N1631" s="1"/>
  <c r="O925"/>
  <c r="N533"/>
  <c r="N534" s="1"/>
  <c r="N115"/>
  <c r="N932"/>
  <c r="N933" s="1"/>
  <c r="N1265" i="12"/>
  <c r="N910"/>
  <c r="N647" i="4"/>
  <c r="N648" s="1"/>
  <c r="N347"/>
  <c r="N348" s="1"/>
  <c r="N221"/>
  <c r="N222" s="1"/>
  <c r="N365"/>
  <c r="N1271"/>
  <c r="N1267"/>
  <c r="L1358"/>
  <c r="N1358" s="1"/>
  <c r="N1359" s="1"/>
  <c r="L1592"/>
  <c r="N1592" s="1"/>
  <c r="N1593" s="1"/>
  <c r="O1090"/>
  <c r="N136" i="12"/>
  <c r="N390"/>
  <c r="N1007"/>
  <c r="N440"/>
  <c r="N1026" i="4"/>
  <c r="N1027" s="1"/>
  <c r="O1025"/>
  <c r="N343"/>
  <c r="N344" s="1"/>
  <c r="L1536"/>
  <c r="N1536" s="1"/>
  <c r="N1537" s="1"/>
  <c r="L850" i="12"/>
  <c r="N850" s="1"/>
  <c r="N851" s="1"/>
  <c r="N705" i="4"/>
  <c r="N706" s="1"/>
  <c r="N154"/>
  <c r="N155" s="1"/>
  <c r="N453" i="12"/>
  <c r="N454" s="1"/>
  <c r="L365"/>
  <c r="N365" s="1"/>
  <c r="N366" s="1"/>
  <c r="L565" i="4"/>
  <c r="N565" s="1"/>
  <c r="N566" s="1"/>
  <c r="L439"/>
  <c r="N439" s="1"/>
  <c r="N440" s="1"/>
  <c r="L735"/>
  <c r="N735" s="1"/>
  <c r="N736" s="1"/>
  <c r="N406"/>
  <c r="N407" s="1"/>
  <c r="N1268"/>
  <c r="O1031"/>
  <c r="N926"/>
  <c r="N927" s="1"/>
  <c r="O1084"/>
  <c r="N647" i="12"/>
  <c r="N529" i="4"/>
  <c r="N530" s="1"/>
  <c r="N114"/>
  <c r="N12"/>
  <c r="L61"/>
  <c r="N61" s="1"/>
  <c r="N62" s="1"/>
  <c r="N51"/>
  <c r="N10"/>
  <c r="N469"/>
  <c r="N470" s="1"/>
  <c r="N784"/>
  <c r="L19"/>
  <c r="N19" s="1"/>
  <c r="N20" s="1"/>
  <c r="N838"/>
  <c r="N890"/>
  <c r="N1152"/>
  <c r="N1148"/>
  <c r="N1270"/>
  <c r="N1309"/>
  <c r="L1397"/>
  <c r="N1397" s="1"/>
  <c r="N1398" s="1"/>
  <c r="N1632"/>
  <c r="N1623"/>
  <c r="N1582"/>
  <c r="N1529"/>
  <c r="N1525"/>
  <c r="L998"/>
  <c r="N998" s="1"/>
  <c r="N999" s="1"/>
  <c r="L1057"/>
  <c r="N1057" s="1"/>
  <c r="N1058" s="1"/>
  <c r="N1665"/>
  <c r="L245" i="12"/>
  <c r="N245" s="1"/>
  <c r="N246" s="1"/>
  <c r="L990"/>
  <c r="N990" s="1"/>
  <c r="N991" s="1"/>
  <c r="N983"/>
  <c r="N394"/>
  <c r="N516"/>
  <c r="N514"/>
  <c r="N552"/>
  <c r="N840"/>
  <c r="N1153"/>
  <c r="N121"/>
  <c r="N215"/>
  <c r="N828"/>
  <c r="N868"/>
  <c r="N933"/>
  <c r="N357"/>
  <c r="N152"/>
  <c r="N473"/>
  <c r="N471"/>
  <c r="N50"/>
  <c r="L1111"/>
  <c r="N1111" s="1"/>
  <c r="N1112" s="1"/>
  <c r="L1165"/>
  <c r="N1165" s="1"/>
  <c r="N1166" s="1"/>
  <c r="N1239"/>
  <c r="N1266"/>
  <c r="N698"/>
  <c r="N1048"/>
  <c r="N1689" i="4"/>
  <c r="N740" i="12"/>
  <c r="N1488" i="4" l="1"/>
  <c r="N1496" s="1"/>
  <c r="N1498" s="1"/>
  <c r="N412"/>
  <c r="N97"/>
  <c r="N322" i="12"/>
  <c r="N330" s="1"/>
  <c r="N332" s="1"/>
  <c r="N1067"/>
  <c r="N1075" s="1"/>
  <c r="N1077" s="1"/>
  <c r="N160" i="4"/>
  <c r="N1106" i="12"/>
  <c r="N30" i="4"/>
  <c r="N1052"/>
  <c r="N286"/>
  <c r="N641" i="12"/>
  <c r="N697" i="4"/>
  <c r="N1555"/>
  <c r="N308"/>
  <c r="N316" s="1"/>
  <c r="N318" s="1"/>
  <c r="N119"/>
  <c r="N127" s="1"/>
  <c r="N129" s="1"/>
  <c r="N245"/>
  <c r="N253" s="1"/>
  <c r="N255" s="1"/>
  <c r="N805" i="12"/>
  <c r="N813" s="1"/>
  <c r="N815" s="1"/>
  <c r="N414"/>
  <c r="N360"/>
  <c r="N893" i="4"/>
  <c r="N901" s="1"/>
  <c r="N903" s="1"/>
  <c r="N240" i="12"/>
  <c r="N248" s="1"/>
  <c r="N250" s="1"/>
  <c r="N560" i="4"/>
  <c r="N568" s="1"/>
  <c r="N570" s="1"/>
  <c r="N199" i="12"/>
  <c r="N207" s="1"/>
  <c r="N209" s="1"/>
  <c r="N600"/>
  <c r="N608" s="1"/>
  <c r="N610" s="1"/>
  <c r="N434" i="4"/>
  <c r="N442" s="1"/>
  <c r="N444" s="1"/>
  <c r="N674"/>
  <c r="N681" s="1"/>
  <c r="N683" s="1"/>
  <c r="N1312"/>
  <c r="N1320" s="1"/>
  <c r="N1322" s="1"/>
  <c r="N475"/>
  <c r="N397"/>
  <c r="N789"/>
  <c r="N797" s="1"/>
  <c r="N799" s="1"/>
  <c r="N812" s="1"/>
  <c r="N825" s="1"/>
  <c r="N826" s="1"/>
  <c r="N828" s="1"/>
  <c r="E34" i="1" s="1"/>
  <c r="N765" i="12"/>
  <c r="N774" s="1"/>
  <c r="N776" s="1"/>
  <c r="N790" s="1"/>
  <c r="N791" s="1"/>
  <c r="N792" s="1"/>
  <c r="N271" i="4"/>
  <c r="N1060"/>
  <c r="N1062" s="1"/>
  <c r="N371"/>
  <c r="N379" s="1"/>
  <c r="N381" s="1"/>
  <c r="N618"/>
  <c r="N626" s="1"/>
  <c r="N628" s="1"/>
  <c r="N521"/>
  <c r="N537" s="1"/>
  <c r="N1242" i="12"/>
  <c r="N1250" s="1"/>
  <c r="N1252" s="1"/>
  <c r="N845"/>
  <c r="N853" s="1"/>
  <c r="N855" s="1"/>
  <c r="N1666" i="4"/>
  <c r="N1674" s="1"/>
  <c r="N1676" s="1"/>
  <c r="N841"/>
  <c r="N849" s="1"/>
  <c r="N851" s="1"/>
  <c r="N864" s="1"/>
  <c r="N877" s="1"/>
  <c r="N878" s="1"/>
  <c r="N880" s="1"/>
  <c r="E35" i="1" s="1"/>
  <c r="N1034" i="4"/>
  <c r="N1353"/>
  <c r="N1335"/>
  <c r="N13" i="12"/>
  <c r="N21" s="1"/>
  <c r="N23" s="1"/>
  <c r="N682"/>
  <c r="N690" s="1"/>
  <c r="N692" s="1"/>
  <c r="N706" s="1"/>
  <c r="N707" s="1"/>
  <c r="N708" s="1"/>
  <c r="N1112" i="4"/>
  <c r="N1120" s="1"/>
  <c r="N1122" s="1"/>
  <c r="N1136" s="1"/>
  <c r="N1137" s="1"/>
  <c r="N1138" s="1"/>
  <c r="E40" i="1" s="1"/>
  <c r="N281" i="12"/>
  <c r="N289" s="1"/>
  <c r="N291" s="1"/>
  <c r="N1201"/>
  <c r="N1209" s="1"/>
  <c r="N1211" s="1"/>
  <c r="N422"/>
  <c r="N424" s="1"/>
  <c r="N158"/>
  <c r="N166" s="1"/>
  <c r="N168" s="1"/>
  <c r="N518"/>
  <c r="N526" s="1"/>
  <c r="N528" s="1"/>
  <c r="N542" s="1"/>
  <c r="N543" s="1"/>
  <c r="N544" s="1"/>
  <c r="N56" i="4"/>
  <c r="N64" s="1"/>
  <c r="N66" s="1"/>
  <c r="N1375"/>
  <c r="N1025" i="12"/>
  <c r="N1033" s="1"/>
  <c r="N1035" s="1"/>
  <c r="N1050" s="1"/>
  <c r="N916" i="4"/>
  <c r="N460"/>
  <c r="N535"/>
  <c r="N145"/>
  <c r="N934"/>
  <c r="N1267" i="12"/>
  <c r="N1569" i="4"/>
  <c r="N756"/>
  <c r="N1587"/>
  <c r="N1595" s="1"/>
  <c r="N1597" s="1"/>
  <c r="N349"/>
  <c r="N1093"/>
  <c r="N1470"/>
  <c r="N54" i="12"/>
  <c r="N62" s="1"/>
  <c r="N64" s="1"/>
  <c r="N79" s="1"/>
  <c r="N80" s="1"/>
  <c r="N1433" i="4"/>
  <c r="N1441" s="1"/>
  <c r="N1443" s="1"/>
  <c r="N1458" s="1"/>
  <c r="N1233"/>
  <c r="N1241" s="1"/>
  <c r="N1243" s="1"/>
  <c r="N95" i="12"/>
  <c r="N103" s="1"/>
  <c r="N105" s="1"/>
  <c r="N123" s="1"/>
  <c r="N125" s="1"/>
  <c r="N993" i="4"/>
  <c r="N1001" s="1"/>
  <c r="N1003" s="1"/>
  <c r="N1709"/>
  <c r="N559" i="12"/>
  <c r="N567" s="1"/>
  <c r="N569" s="1"/>
  <c r="N583" s="1"/>
  <c r="N584" s="1"/>
  <c r="N585" s="1"/>
  <c r="N985"/>
  <c r="N993" s="1"/>
  <c r="N995" s="1"/>
  <c r="N14" i="4"/>
  <c r="N22" s="1"/>
  <c r="N24" s="1"/>
  <c r="N1415"/>
  <c r="N887" i="12"/>
  <c r="N896" s="1"/>
  <c r="N898" s="1"/>
  <c r="N918" s="1"/>
  <c r="N919" s="1"/>
  <c r="N920" s="1"/>
  <c r="N723"/>
  <c r="N732" s="1"/>
  <c r="N734" s="1"/>
  <c r="N748" s="1"/>
  <c r="N749" s="1"/>
  <c r="N750" s="1"/>
  <c r="N730" i="4"/>
  <c r="N738" s="1"/>
  <c r="N740" s="1"/>
  <c r="N1295"/>
  <c r="N1392"/>
  <c r="N1400" s="1"/>
  <c r="N1402" s="1"/>
  <c r="N334"/>
  <c r="N477" i="12"/>
  <c r="N485" s="1"/>
  <c r="N487" s="1"/>
  <c r="N501" s="1"/>
  <c r="N502" s="1"/>
  <c r="N503" s="1"/>
  <c r="N1153" i="4"/>
  <c r="N1161" s="1"/>
  <c r="N1163" s="1"/>
  <c r="N1192"/>
  <c r="N1200" s="1"/>
  <c r="N1202" s="1"/>
  <c r="N1531"/>
  <c r="N1539" s="1"/>
  <c r="N1541" s="1"/>
  <c r="N497"/>
  <c r="N505" s="1"/>
  <c r="N507" s="1"/>
  <c r="N935" i="12"/>
  <c r="N944" s="1"/>
  <c r="N946" s="1"/>
  <c r="N969" s="1"/>
  <c r="N970" s="1"/>
  <c r="N971" s="1"/>
  <c r="N1160"/>
  <c r="N1168" s="1"/>
  <c r="N1170" s="1"/>
  <c r="N649"/>
  <c r="N651" s="1"/>
  <c r="N665" s="1"/>
  <c r="N666" s="1"/>
  <c r="N667" s="1"/>
  <c r="N954" i="4"/>
  <c r="N962" s="1"/>
  <c r="N964" s="1"/>
  <c r="N82"/>
  <c r="N1626"/>
  <c r="N1634" s="1"/>
  <c r="N1636" s="1"/>
  <c r="N1114" i="12"/>
  <c r="N1116" s="1"/>
  <c r="N1129" s="1"/>
  <c r="N1130" s="1"/>
  <c r="N1131" s="1"/>
  <c r="N182" i="4"/>
  <c r="N190" s="1"/>
  <c r="N192" s="1"/>
  <c r="N653"/>
  <c r="N1361"/>
  <c r="N1363" s="1"/>
  <c r="N368" i="12"/>
  <c r="N370" s="1"/>
  <c r="N383" s="1"/>
  <c r="N771" i="4"/>
  <c r="N455" i="12"/>
  <c r="N208" i="4"/>
  <c r="N711"/>
  <c r="N223"/>
  <c r="N395" i="12"/>
  <c r="N1272" i="4"/>
  <c r="N1280" s="1"/>
  <c r="N1282" s="1"/>
  <c r="N876"/>
  <c r="N596"/>
  <c r="N1718"/>
  <c r="N1720" s="1"/>
  <c r="N139" i="12" l="1"/>
  <c r="N140" s="1"/>
  <c r="N38" i="4"/>
  <c r="N813"/>
  <c r="N814" s="1"/>
  <c r="N1051" i="12"/>
  <c r="N1052" s="1"/>
  <c r="U1016" s="1"/>
  <c r="N865" i="4"/>
  <c r="N866" s="1"/>
  <c r="N223" i="12"/>
  <c r="N224" s="1"/>
  <c r="N225" s="1"/>
  <c r="N1142"/>
  <c r="N1143" s="1"/>
  <c r="N1145" s="1"/>
  <c r="G45" i="8" s="1"/>
  <c r="L907" i="4" s="1"/>
  <c r="N907" s="1"/>
  <c r="G55" i="8"/>
  <c r="R503" i="12"/>
  <c r="U466"/>
  <c r="R667"/>
  <c r="G23" i="9"/>
  <c r="U630" i="12"/>
  <c r="G56" i="8"/>
  <c r="L960" i="12" s="1"/>
  <c r="N960" s="1"/>
  <c r="R544"/>
  <c r="U507"/>
  <c r="G58" i="8"/>
  <c r="L1502" i="4" s="1"/>
  <c r="N1502" s="1"/>
  <c r="U671" i="12"/>
  <c r="R708"/>
  <c r="G54" i="8"/>
  <c r="L294" i="12" s="1"/>
  <c r="N294" s="1"/>
  <c r="N297" s="1"/>
  <c r="U876"/>
  <c r="R920"/>
  <c r="R971"/>
  <c r="G64" i="8"/>
  <c r="L998" i="12" s="1"/>
  <c r="N998" s="1"/>
  <c r="N1000" s="1"/>
  <c r="U924"/>
  <c r="N1184"/>
  <c r="N1185" s="1"/>
  <c r="N1186" s="1"/>
  <c r="N264"/>
  <c r="N265" s="1"/>
  <c r="N266" s="1"/>
  <c r="N37"/>
  <c r="N38" s="1"/>
  <c r="N39" s="1"/>
  <c r="R585"/>
  <c r="G57" i="8"/>
  <c r="L959" i="12" s="1"/>
  <c r="N959" s="1"/>
  <c r="U548"/>
  <c r="G41" i="8"/>
  <c r="U43" i="12"/>
  <c r="R80"/>
  <c r="G60" i="8"/>
  <c r="U754" i="12"/>
  <c r="R792"/>
  <c r="N39" i="4"/>
  <c r="N40" s="1"/>
  <c r="N1734"/>
  <c r="N1735" s="1"/>
  <c r="N1736" s="1"/>
  <c r="E55" i="1" s="1"/>
  <c r="N624" i="12"/>
  <c r="N625" s="1"/>
  <c r="N626" s="1"/>
  <c r="G42" i="8"/>
  <c r="N1225" i="12"/>
  <c r="N1226" s="1"/>
  <c r="N1227" s="1"/>
  <c r="N1472" i="4"/>
  <c r="N1473" s="1"/>
  <c r="N1475" s="1"/>
  <c r="E48" i="1" s="1"/>
  <c r="N1459" i="4"/>
  <c r="N1460" s="1"/>
  <c r="N384" i="12"/>
  <c r="N385" s="1"/>
  <c r="N396"/>
  <c r="N397" s="1"/>
  <c r="N399" s="1"/>
  <c r="G59" i="8"/>
  <c r="R750" i="12"/>
  <c r="U712"/>
  <c r="N142" l="1"/>
  <c r="N143" s="1"/>
  <c r="R143" s="1"/>
  <c r="G65" i="8"/>
  <c r="L1501" i="4" s="1"/>
  <c r="N1501" s="1"/>
  <c r="N1504" s="1"/>
  <c r="N1513" s="1"/>
  <c r="G44" i="8"/>
  <c r="L909" i="12" s="1"/>
  <c r="N909" s="1"/>
  <c r="R225"/>
  <c r="U188"/>
  <c r="R1052"/>
  <c r="N1009"/>
  <c r="N1010" s="1"/>
  <c r="N1011" s="1"/>
  <c r="U976" s="1"/>
  <c r="G22" i="9"/>
  <c r="R626" i="12"/>
  <c r="U589"/>
  <c r="G40" i="8"/>
  <c r="L1600" i="4" s="1"/>
  <c r="N1600" s="1"/>
  <c r="R39" i="12"/>
  <c r="U2"/>
  <c r="G47" i="8"/>
  <c r="U229" i="12"/>
  <c r="R266"/>
  <c r="U1149"/>
  <c r="R1186"/>
  <c r="G46" i="8"/>
  <c r="U351" i="12"/>
  <c r="G52" i="8"/>
  <c r="R399" i="12"/>
  <c r="G48" i="8"/>
  <c r="L906" i="4" s="1"/>
  <c r="N906" s="1"/>
  <c r="U1190" i="12"/>
  <c r="R1227"/>
  <c r="L335"/>
  <c r="N335" s="1"/>
  <c r="L1080"/>
  <c r="N1080" s="1"/>
  <c r="N1084" s="1"/>
  <c r="L1640" i="4"/>
  <c r="N1640" s="1"/>
  <c r="L1680"/>
  <c r="N1680" s="1"/>
  <c r="N41"/>
  <c r="E21" i="1" s="1"/>
  <c r="N305" i="12"/>
  <c r="N306" s="1"/>
  <c r="N307" s="1"/>
  <c r="L1679" i="4"/>
  <c r="N1679" s="1"/>
  <c r="L1639"/>
  <c r="N1639" s="1"/>
  <c r="L510"/>
  <c r="N510" s="1"/>
  <c r="L384"/>
  <c r="N384" s="1"/>
  <c r="L132"/>
  <c r="N132" s="1"/>
  <c r="L743"/>
  <c r="N743" s="1"/>
  <c r="L447"/>
  <c r="N447" s="1"/>
  <c r="L195"/>
  <c r="N195" s="1"/>
  <c r="L258"/>
  <c r="N258" s="1"/>
  <c r="L1255" i="12"/>
  <c r="N1255" s="1"/>
  <c r="L321" i="4"/>
  <c r="N321" s="1"/>
  <c r="L69"/>
  <c r="N69" s="1"/>
  <c r="L427" i="12"/>
  <c r="N427" s="1"/>
  <c r="N432" s="1"/>
  <c r="N442" s="1"/>
  <c r="L631" i="4"/>
  <c r="N631" s="1"/>
  <c r="N634" s="1"/>
  <c r="N641" s="1"/>
  <c r="L512"/>
  <c r="N512" s="1"/>
  <c r="L259"/>
  <c r="N259" s="1"/>
  <c r="L858" i="12"/>
  <c r="N858" s="1"/>
  <c r="N861" s="1"/>
  <c r="L1256"/>
  <c r="N1256" s="1"/>
  <c r="L322" i="4"/>
  <c r="N322" s="1"/>
  <c r="L70"/>
  <c r="N70" s="1"/>
  <c r="L336" i="12"/>
  <c r="N336" s="1"/>
  <c r="L573" i="4"/>
  <c r="N573" s="1"/>
  <c r="N576" s="1"/>
  <c r="N584" s="1"/>
  <c r="L385"/>
  <c r="N385" s="1"/>
  <c r="L133"/>
  <c r="N133" s="1"/>
  <c r="L744"/>
  <c r="N744" s="1"/>
  <c r="L448"/>
  <c r="N448" s="1"/>
  <c r="L196"/>
  <c r="N196" s="1"/>
  <c r="U85" i="12" l="1"/>
  <c r="L173"/>
  <c r="N173" s="1"/>
  <c r="N1514" i="4"/>
  <c r="N1515" s="1"/>
  <c r="E49" i="1" s="1"/>
  <c r="N1682" i="4"/>
  <c r="N1691" s="1"/>
  <c r="N200"/>
  <c r="N210" s="1"/>
  <c r="N211" s="1"/>
  <c r="N212" s="1"/>
  <c r="N389"/>
  <c r="N399" s="1"/>
  <c r="N414" s="1"/>
  <c r="G63" i="8"/>
  <c r="R1011" i="12"/>
  <c r="G50" i="8"/>
  <c r="U270" i="12"/>
  <c r="R307"/>
  <c r="N870"/>
  <c r="N871" s="1"/>
  <c r="N872" s="1"/>
  <c r="N457"/>
  <c r="N458" s="1"/>
  <c r="N443"/>
  <c r="N444" s="1"/>
  <c r="L1066" i="4"/>
  <c r="N1066" s="1"/>
  <c r="L1006"/>
  <c r="N1006" s="1"/>
  <c r="E1072"/>
  <c r="L1072" s="1"/>
  <c r="N1072" s="1"/>
  <c r="N1075" s="1"/>
  <c r="E1013"/>
  <c r="L1013" s="1"/>
  <c r="N1013" s="1"/>
  <c r="N1016" s="1"/>
  <c r="N597"/>
  <c r="N598" s="1"/>
  <c r="N600" s="1"/>
  <c r="E30" i="1" s="1"/>
  <c r="N585" i="4"/>
  <c r="N586" s="1"/>
  <c r="N654"/>
  <c r="N655" s="1"/>
  <c r="N657" s="1"/>
  <c r="E31" i="1" s="1"/>
  <c r="N642" i="4"/>
  <c r="N643" s="1"/>
  <c r="L172" i="12"/>
  <c r="N172" s="1"/>
  <c r="L908"/>
  <c r="N908" s="1"/>
  <c r="N1092"/>
  <c r="N1093" s="1"/>
  <c r="N1094" s="1"/>
  <c r="N1602" i="4"/>
  <c r="N1611" s="1"/>
  <c r="N74"/>
  <c r="N84" s="1"/>
  <c r="N263"/>
  <c r="N273" s="1"/>
  <c r="N137"/>
  <c r="N147" s="1"/>
  <c r="N1260" i="12"/>
  <c r="N748" i="4"/>
  <c r="N758" s="1"/>
  <c r="N1642"/>
  <c r="N337" i="12"/>
  <c r="N326" i="4"/>
  <c r="N336" s="1"/>
  <c r="N452"/>
  <c r="N462" s="1"/>
  <c r="N514"/>
  <c r="N523" s="1"/>
  <c r="N174" i="12" l="1"/>
  <c r="N182" s="1"/>
  <c r="N183" s="1"/>
  <c r="N184" s="1"/>
  <c r="N400" i="4"/>
  <c r="N401" s="1"/>
  <c r="N1612"/>
  <c r="N1613" s="1"/>
  <c r="E51" i="1" s="1"/>
  <c r="N1692" i="4"/>
  <c r="N1693" s="1"/>
  <c r="E54" i="1" s="1"/>
  <c r="N415" i="4"/>
  <c r="N418" s="1"/>
  <c r="N419" s="1"/>
  <c r="E27" i="1" s="1"/>
  <c r="N225" i="4"/>
  <c r="N226" s="1"/>
  <c r="N227" s="1"/>
  <c r="G66" i="8"/>
  <c r="L1365" i="4" s="1"/>
  <c r="N1365" s="1"/>
  <c r="N1368" s="1"/>
  <c r="U1056" i="12"/>
  <c r="R1094"/>
  <c r="G62" i="8"/>
  <c r="U836" i="12"/>
  <c r="R872"/>
  <c r="N345"/>
  <c r="N346" s="1"/>
  <c r="N347" s="1"/>
  <c r="N162" i="4"/>
  <c r="N163" s="1"/>
  <c r="N148"/>
  <c r="N149" s="1"/>
  <c r="N351"/>
  <c r="N352" s="1"/>
  <c r="N337"/>
  <c r="N338" s="1"/>
  <c r="N1269" i="12"/>
  <c r="N1270" s="1"/>
  <c r="N1271" s="1"/>
  <c r="N461"/>
  <c r="N462" s="1"/>
  <c r="N459"/>
  <c r="L1545" i="4"/>
  <c r="N1545" s="1"/>
  <c r="N1548" s="1"/>
  <c r="N1557" s="1"/>
  <c r="L686"/>
  <c r="N686" s="1"/>
  <c r="N690" s="1"/>
  <c r="N699" s="1"/>
  <c r="N477"/>
  <c r="N478" s="1"/>
  <c r="N463"/>
  <c r="N464" s="1"/>
  <c r="N773"/>
  <c r="N774" s="1"/>
  <c r="N759"/>
  <c r="N760" s="1"/>
  <c r="N99"/>
  <c r="N100" s="1"/>
  <c r="N85"/>
  <c r="N86" s="1"/>
  <c r="N538"/>
  <c r="N524"/>
  <c r="N525" s="1"/>
  <c r="N1651"/>
  <c r="N1652" s="1"/>
  <c r="N1653" s="1"/>
  <c r="E53" i="1" s="1"/>
  <c r="N288" i="4"/>
  <c r="N289" s="1"/>
  <c r="N274"/>
  <c r="N275" s="1"/>
  <c r="N416" l="1"/>
  <c r="N229"/>
  <c r="N230" s="1"/>
  <c r="E24" i="1" s="1"/>
  <c r="G51" i="8"/>
  <c r="L1285" i="4" s="1"/>
  <c r="N1285" s="1"/>
  <c r="N1288" s="1"/>
  <c r="U311" i="12"/>
  <c r="R347"/>
  <c r="G43" i="8"/>
  <c r="R184" i="12"/>
  <c r="U147"/>
  <c r="N103" i="4"/>
  <c r="N104" s="1"/>
  <c r="E22" i="1" s="1"/>
  <c r="N101" i="4"/>
  <c r="N712"/>
  <c r="N713" s="1"/>
  <c r="N715" s="1"/>
  <c r="E32" i="1" s="1"/>
  <c r="N700" i="4"/>
  <c r="N701" s="1"/>
  <c r="G49" i="8"/>
  <c r="R1271" i="12"/>
  <c r="U1231"/>
  <c r="N355" i="4"/>
  <c r="N356" s="1"/>
  <c r="E26" i="1" s="1"/>
  <c r="N353" i="4"/>
  <c r="L818" i="12"/>
  <c r="N818" s="1"/>
  <c r="N821" s="1"/>
  <c r="L1325" i="4"/>
  <c r="N1325" s="1"/>
  <c r="N1328" s="1"/>
  <c r="N541"/>
  <c r="N542" s="1"/>
  <c r="E29" i="1" s="1"/>
  <c r="N539" i="4"/>
  <c r="N777"/>
  <c r="N778" s="1"/>
  <c r="E33" i="1" s="1"/>
  <c r="N775" i="4"/>
  <c r="N481"/>
  <c r="N482" s="1"/>
  <c r="E28" i="1" s="1"/>
  <c r="N479" i="4"/>
  <c r="U403" i="12"/>
  <c r="R462"/>
  <c r="G53" i="8"/>
  <c r="N166" i="4"/>
  <c r="N167" s="1"/>
  <c r="E23" i="1" s="1"/>
  <c r="N164" i="4"/>
  <c r="N1377"/>
  <c r="N1378" s="1"/>
  <c r="N1379" s="1"/>
  <c r="E46" i="1" s="1"/>
  <c r="N292" i="4"/>
  <c r="N293" s="1"/>
  <c r="E25" i="1" s="1"/>
  <c r="N290" i="4"/>
  <c r="N1571"/>
  <c r="N1572" s="1"/>
  <c r="N1574" s="1"/>
  <c r="E50" i="1" s="1"/>
  <c r="N1558" i="4"/>
  <c r="N1559" s="1"/>
  <c r="N1337" l="1"/>
  <c r="N1338" s="1"/>
  <c r="N1339" s="1"/>
  <c r="E45" i="1" s="1"/>
  <c r="L1007" i="4"/>
  <c r="N1007" s="1"/>
  <c r="N1009" s="1"/>
  <c r="N1018" s="1"/>
  <c r="L1067"/>
  <c r="N1067" s="1"/>
  <c r="N1068" s="1"/>
  <c r="N1077" s="1"/>
  <c r="L908"/>
  <c r="N908" s="1"/>
  <c r="N909" s="1"/>
  <c r="N918" s="1"/>
  <c r="N1297"/>
  <c r="N1298" s="1"/>
  <c r="N1299" s="1"/>
  <c r="E44" i="1" s="1"/>
  <c r="N830" i="12"/>
  <c r="N831" s="1"/>
  <c r="N832" s="1"/>
  <c r="L1205" i="4"/>
  <c r="N1205" s="1"/>
  <c r="N1208" s="1"/>
  <c r="L1246"/>
  <c r="N1246" s="1"/>
  <c r="N1249" s="1"/>
  <c r="L1166"/>
  <c r="N1166" s="1"/>
  <c r="N1167" s="1"/>
  <c r="L967"/>
  <c r="N967" s="1"/>
  <c r="N970" s="1"/>
  <c r="N1175" l="1"/>
  <c r="N1176" s="1"/>
  <c r="N1177" s="1"/>
  <c r="E41" i="1" s="1"/>
  <c r="G61" i="8"/>
  <c r="L1405" i="4" s="1"/>
  <c r="N1405" s="1"/>
  <c r="N1408" s="1"/>
  <c r="U796" i="12"/>
  <c r="R832"/>
  <c r="N1095" i="4"/>
  <c r="N1096" s="1"/>
  <c r="N1098" s="1"/>
  <c r="E39" i="1" s="1"/>
  <c r="N1079" i="4"/>
  <c r="N1078"/>
  <c r="N978"/>
  <c r="N979" s="1"/>
  <c r="N980" s="1"/>
  <c r="E37" i="1" s="1"/>
  <c r="N936" i="4"/>
  <c r="N937" s="1"/>
  <c r="N939" s="1"/>
  <c r="E36" i="1" s="1"/>
  <c r="N919" i="4"/>
  <c r="N920" s="1"/>
  <c r="N1216"/>
  <c r="N1217" s="1"/>
  <c r="N1218" s="1"/>
  <c r="E42" i="1" s="1"/>
  <c r="N1257" i="4"/>
  <c r="N1258" s="1"/>
  <c r="N1259" s="1"/>
  <c r="E43" i="1" s="1"/>
  <c r="N1036" i="4"/>
  <c r="N1037" s="1"/>
  <c r="N1039" s="1"/>
  <c r="E38" i="1" s="1"/>
  <c r="N1019" i="4"/>
  <c r="N1020" s="1"/>
  <c r="N1417" l="1"/>
  <c r="N1418" s="1"/>
  <c r="N1419" s="1"/>
  <c r="E47" i="1" s="1"/>
</calcChain>
</file>

<file path=xl/sharedStrings.xml><?xml version="1.0" encoding="utf-8"?>
<sst xmlns="http://schemas.openxmlformats.org/spreadsheetml/2006/main" count="4524" uniqueCount="628">
  <si>
    <t>DESCRIÇÃO</t>
  </si>
  <si>
    <t>UN.</t>
  </si>
  <si>
    <t>CUSTO UNITÁRIO</t>
  </si>
  <si>
    <t>PAVIMENTO</t>
  </si>
  <si>
    <t>DISPOSITIVOS DE PROTEÇÃO E SEGURANÇA</t>
  </si>
  <si>
    <t>M3</t>
  </si>
  <si>
    <t>M2</t>
  </si>
  <si>
    <t xml:space="preserve">FRESAGEM DESCONTINUA </t>
  </si>
  <si>
    <t>REPERFILAGEM COM CBUQ - MASSA FINA</t>
  </si>
  <si>
    <t xml:space="preserve">PINTURA DE LIGAÇÃO </t>
  </si>
  <si>
    <t>PMQ - PRÉ MISTURADO A QUENTE</t>
  </si>
  <si>
    <t>REESTABILIZAÇÃO DE BASE COM ADIÇÃO DE MATERIAL</t>
  </si>
  <si>
    <t>IMPRIMAÇÃO</t>
  </si>
  <si>
    <t>RECOMPOSIÇÃO DO PAVIMENTO COM REPAROS LOCALIZADOS SUPERFICIAIS - PISTAS</t>
  </si>
  <si>
    <t>RECOMPOSIÇÃO DO PAVIMENTO COM REPAROS  LOCALIZADOS SUPERFICIAIS - ACOSTAMENTOS</t>
  </si>
  <si>
    <t>REPARO PROFUNDO (REMENDO)</t>
  </si>
  <si>
    <t>MICRORREVESTIMENTO ASFÁLTICO A FRIO - MICROFLEX 1,5 CM</t>
  </si>
  <si>
    <t>CONCRETO BETUMINOSO USINADO A QUENTE COM POLÍMERO - CAPA DE ROLAMENTO</t>
  </si>
  <si>
    <t>CONCRETO BETUMINOSO USINADO A QUENTE COM ASFALTO-BORRACHA - CAPA DE ROLAMENTO</t>
  </si>
  <si>
    <t>5 S 02 511 02</t>
  </si>
  <si>
    <t>2 S 02 110 00</t>
  </si>
  <si>
    <t>2 S 02 100 00</t>
  </si>
  <si>
    <t>2 S 02 200 00</t>
  </si>
  <si>
    <t>2 S 02 200 01</t>
  </si>
  <si>
    <t>2 S 02 220 00</t>
  </si>
  <si>
    <t>2 S 02 230 00</t>
  </si>
  <si>
    <t>2 S 02 241 01</t>
  </si>
  <si>
    <t>2 S 02 540 01</t>
  </si>
  <si>
    <t>2 S 02 540 02</t>
  </si>
  <si>
    <t>2 S 02 501 01</t>
  </si>
  <si>
    <t>CAMADA POROSA DE ATRITO</t>
  </si>
  <si>
    <t>ITEM           SICRO</t>
  </si>
  <si>
    <t>5 S 02 990 12</t>
  </si>
  <si>
    <t>5 S 02 540 02</t>
  </si>
  <si>
    <t>CONCRETO BETUMINOSO USINADO A QUENTE - BINDER (construção)</t>
  </si>
  <si>
    <t>CONCRETO BETUMINOSO USINADO A QUENTE - BINDER (restauração)</t>
  </si>
  <si>
    <t>CONCRETO BETUMINOSO USINADO A QUENTE - CAPA DE ROLAMENTO (construção)</t>
  </si>
  <si>
    <t>5 S 02 540 01</t>
  </si>
  <si>
    <t>CONCRETO BETUMINOSO USINADO A QUENTE - CAPA DE ROLAMENTO (restauração)</t>
  </si>
  <si>
    <t>TSD - TRATAMENTO SUPERFICIAL DUPLO (construção)</t>
  </si>
  <si>
    <t>TSD - TRATAMENTO SUPERFICIAL DUPLO (restauração)</t>
  </si>
  <si>
    <t>3 S 08 101 02</t>
  </si>
  <si>
    <t>• Produtividade e Consumo</t>
  </si>
  <si>
    <t>novos disponíveis no mercado;</t>
  </si>
  <si>
    <t>Insumos: consumo referente a cada tipo de serviço;</t>
  </si>
  <si>
    <t>especializadas (CIBER Equipamentos Rodoviários, Wirtgen);</t>
  </si>
  <si>
    <t>Composições de Custos Unitários</t>
  </si>
  <si>
    <t>serviços de melhorias, restauração, manutenção, conservação, considerando as diretrizes abaixo relacionadas:</t>
  </si>
  <si>
    <t>Serviços: ganho na produtividade, decorrente do avanço tecnológico, aperfeiçoamento industrial, soluções técnicas inovadoras e soluções / produtos</t>
  </si>
  <si>
    <t>Adotar a estrutura e metodologia do Sistema Integrado de Custos Rodoviários (SICRO) para elaboração das composições de custos unitários de</t>
  </si>
  <si>
    <t>Equipamentos: consideradas as horas produtiva e improdutiva de cada equipamento para construção de obras civis e rodoviárias;</t>
  </si>
  <si>
    <t>Equipamentos: custo horário, produtivo e improdutivo para equipamentos de obras rodoviárias e civis, e pesquisa de mercado junto a empresas</t>
  </si>
  <si>
    <t>Outros Insumos: Os demais insumos utilizados neste estudo têm como base o SICRO 2 MG (data base - ?/07), disponibilizado em www.dnit.gov.br.</t>
  </si>
  <si>
    <t>Insumos: adotada pesquisa de mercado dos insumos mais relevantes para o estudo, sendo:</t>
  </si>
  <si>
    <t>• Transporte de Materiais asfálticos (DMT)</t>
  </si>
  <si>
    <t>Localização estimada das usinas/canteiros:</t>
  </si>
  <si>
    <t xml:space="preserve">   BR-040, no trecho DF-Juiz de Fora: Cristalina, João Pinheiro, Três Marias, Sete Lagoas, Cristiano Otoni.</t>
  </si>
  <si>
    <t xml:space="preserve">   BR-381, no trecho Entr.BR-262 - Entr.BR-116: Antonio Dias.</t>
  </si>
  <si>
    <t xml:space="preserve">   BR-116, no trecho Div.MG/RJ - Div.BA/MG: Realeza, Gov. Valadares, Teófilo Otoni, Ponto dos Volantes.</t>
  </si>
  <si>
    <t>Custos de Transporte</t>
  </si>
  <si>
    <t xml:space="preserve">  • Materiais Asfálticos (CAP com e sem polímero, asfalto-borracha, emulsões com e sem polímero etc.);</t>
  </si>
  <si>
    <t xml:space="preserve">  • Brita (Representantes Regionais);</t>
  </si>
  <si>
    <t xml:space="preserve">  • Defensas Metálicas (ARMCO STACO).</t>
  </si>
  <si>
    <t xml:space="preserve">  • Cimento;</t>
  </si>
  <si>
    <t xml:space="preserve">  • Jazidas (verificar jazidas e pedreiras ao longo dos trechos, considerando a qualidade dos materiais e volumes disponíveis);</t>
  </si>
  <si>
    <t xml:space="preserve">  • Materiais Asfálticos: da refinaria até canteiro/usina;</t>
  </si>
  <si>
    <t xml:space="preserve">  • Brita, areia, fíler etc.: da pedreira/jazida até canteiro/usina;</t>
  </si>
  <si>
    <t xml:space="preserve">  • Misturas Asfálticas: da usina/canteiro até a pista;</t>
  </si>
  <si>
    <t>Mão-de-Obra: consumo/produtividade referente a cada tipo de serviço;</t>
  </si>
  <si>
    <t>Mão-de-Obra: pesquisa de mercado de acordo com revista especializada em custos do setor rodoviário e de construção civil (Ver.Construção Pesada).</t>
  </si>
  <si>
    <t>Compsisnet, Toledo);</t>
  </si>
  <si>
    <t xml:space="preserve">Equipamentos, Sistemas Operacionais e Veículos: pesquisa de mercado junto a empresas especializadas no seguimento (PAT Traffic Ltda, </t>
  </si>
  <si>
    <r>
      <t xml:space="preserve">OBS: alguns serviços aparecem nos itens </t>
    </r>
    <r>
      <rPr>
        <b/>
        <u/>
        <sz val="11"/>
        <rFont val="Arial"/>
        <family val="2"/>
      </rPr>
      <t>Construção</t>
    </r>
    <r>
      <rPr>
        <b/>
        <sz val="11"/>
        <rFont val="Arial"/>
        <family val="2"/>
      </rPr>
      <t xml:space="preserve">, </t>
    </r>
    <r>
      <rPr>
        <b/>
        <u/>
        <sz val="11"/>
        <rFont val="Arial"/>
        <family val="2"/>
      </rPr>
      <t>Conservação</t>
    </r>
    <r>
      <rPr>
        <b/>
        <sz val="11"/>
        <rFont val="Arial"/>
        <family val="2"/>
      </rPr>
      <t xml:space="preserve"> e </t>
    </r>
    <r>
      <rPr>
        <b/>
        <u/>
        <sz val="11"/>
        <rFont val="Arial"/>
        <family val="2"/>
      </rPr>
      <t>Restauração</t>
    </r>
    <r>
      <rPr>
        <b/>
        <sz val="11"/>
        <rFont val="Arial"/>
        <family val="2"/>
      </rPr>
      <t xml:space="preserve"> com preços diferenciados</t>
    </r>
  </si>
  <si>
    <t>COMPOSIÇÕES DE CUSTOS UNITÁRIOS</t>
  </si>
  <si>
    <t>DESCRIÇÃO DO SERVIÇO</t>
  </si>
  <si>
    <t>UNIDADE</t>
  </si>
  <si>
    <t>REFERÊNCIA</t>
  </si>
  <si>
    <t>EQUIPAMENTOS</t>
  </si>
  <si>
    <t>QUANT</t>
  </si>
  <si>
    <t>UTILIZAÇÃO</t>
  </si>
  <si>
    <t>CUSTO</t>
  </si>
  <si>
    <t>CUSTO HORÁRIO</t>
  </si>
  <si>
    <t>PROD.</t>
  </si>
  <si>
    <t>IMPROD.</t>
  </si>
  <si>
    <t>IMPROD</t>
  </si>
  <si>
    <t>FRESADORA À FRIO - 297 KW</t>
  </si>
  <si>
    <t>CARREGADEIRA DE PNEU C/ VASSOURA</t>
  </si>
  <si>
    <t>CAMINHÃO BASCULANTE (PARA TRANSPORTE DO MAT.FRESADO)</t>
  </si>
  <si>
    <t>CAMINHÃO TANQUE 6.000 L</t>
  </si>
  <si>
    <t>(A)TOTAL</t>
  </si>
  <si>
    <t>MÃO DE OBRA SUPLEMENTAR</t>
  </si>
  <si>
    <t>K ou R</t>
  </si>
  <si>
    <t>QUANT.</t>
  </si>
  <si>
    <t>SAL. BASE</t>
  </si>
  <si>
    <t>CUSTO HORARIO</t>
  </si>
  <si>
    <t>ENCARREGADO DE TURMA</t>
  </si>
  <si>
    <t>SERVENTE</t>
  </si>
  <si>
    <t>FERRAMENTAS MANUAIS + ADICIONAIS MÃO DE OBRA</t>
  </si>
  <si>
    <t xml:space="preserve">(B)TOTAL    </t>
  </si>
  <si>
    <t>(A+B) CUSTO HORARIO TOTAL</t>
  </si>
  <si>
    <t>(C)PRODUÇÃO DA EQUIPE:</t>
  </si>
  <si>
    <t>(D) CUSTO UNIT.EXECUÇÃO</t>
  </si>
  <si>
    <t>MATERIAIS</t>
  </si>
  <si>
    <t>UNID.</t>
  </si>
  <si>
    <t>CONSUMO</t>
  </si>
  <si>
    <t>CUSTO TOTAL</t>
  </si>
  <si>
    <t>(E)TOTAL</t>
  </si>
  <si>
    <t>TRANSPORTE</t>
  </si>
  <si>
    <t>DISTANCIA (Km)</t>
  </si>
  <si>
    <t xml:space="preserve"> CONSUMO</t>
  </si>
  <si>
    <t>VARIAVEL</t>
  </si>
  <si>
    <t>FIXO</t>
  </si>
  <si>
    <t>(F)TOTAL</t>
  </si>
  <si>
    <t>SUB - TOTAL</t>
  </si>
  <si>
    <t>Sin.Provisória / Equipe de Tráfego</t>
  </si>
  <si>
    <t>DI</t>
  </si>
  <si>
    <t>TRATOR AGRICOLA (77 KW)</t>
  </si>
  <si>
    <t>ROLO COMPACTADOR TANDEM VIBRAT. AUTOPROPO. 10,9 T (112 KW)</t>
  </si>
  <si>
    <t>ROLO COMPACTADOR DE PNEUS 21 t (97 KW)</t>
  </si>
  <si>
    <t>VIBROACABADORA DE ASFALTO (74 KW)</t>
  </si>
  <si>
    <t>CAMINHÃO BASCULANTE 10m3 - 15 T (170 KW)</t>
  </si>
  <si>
    <t>ENCARREGADO DE PAVIMENTAÇÃO</t>
  </si>
  <si>
    <t>ADICIONAL MÃO-DE-OBRA</t>
  </si>
  <si>
    <t>CBUQ - USINAGEM</t>
  </si>
  <si>
    <t xml:space="preserve">BRITA </t>
  </si>
  <si>
    <t xml:space="preserve">AREIA </t>
  </si>
  <si>
    <t>FILLER</t>
  </si>
  <si>
    <t>VARIÁVEL</t>
  </si>
  <si>
    <t xml:space="preserve">CBUQ </t>
  </si>
  <si>
    <t>CUSTO UNIT.DIRETO TOTAL</t>
  </si>
  <si>
    <t>CUSTO UNITÁRIO - SUB - TOTAL</t>
  </si>
  <si>
    <t>MATERIAIS BETUMINOSOS</t>
  </si>
  <si>
    <t>CUSTO UNITÁRIO CAP 20</t>
  </si>
  <si>
    <t>CUSTO UNITÁRIO TRANSPORTE CAP 20</t>
  </si>
  <si>
    <t>(G)TOTAL MATERIAL BETUMINOSO</t>
  </si>
  <si>
    <t xml:space="preserve">SUB - TOTAL / T </t>
  </si>
  <si>
    <t xml:space="preserve">SUB - TOTAL / m3 </t>
  </si>
  <si>
    <t xml:space="preserve">CUSTO UNITÁRIO / T </t>
  </si>
  <si>
    <t xml:space="preserve">CUSTO UNITÁRIO / m3 </t>
  </si>
  <si>
    <t>COMPRESSOR DE AR (59KW)</t>
  </si>
  <si>
    <t>MARTELETE - ROMPEDOR 28KG</t>
  </si>
  <si>
    <t>COMPACTADOR MANUAL - soquete vibratório</t>
  </si>
  <si>
    <t>COMPACTADOR MANUAL - placa vibratória (3kW)</t>
  </si>
  <si>
    <t>IMPRIMAÇAO</t>
  </si>
  <si>
    <t>MISTURA BETUMINOSA</t>
  </si>
  <si>
    <t>MATERIAL RETIRADO DA PISTA</t>
  </si>
  <si>
    <t>MATERIAL DE BASE</t>
  </si>
  <si>
    <t>CUSTO UNITÁRIO TOTAL</t>
  </si>
  <si>
    <t>CUSTO UNITÁRIO TRANSPORTE</t>
  </si>
  <si>
    <t xml:space="preserve">SUB - TOTAL </t>
  </si>
  <si>
    <t xml:space="preserve">CUSTO UNITÁRIO </t>
  </si>
  <si>
    <t>SUB - TOTAL / T (SEM DI)</t>
  </si>
  <si>
    <t>SUB - TOTAL / m3 (SEM DI)</t>
  </si>
  <si>
    <t>CUSTO UNITÁRIO / T (COM DI)</t>
  </si>
  <si>
    <t>CUSTO UNITÁRIO / m3 (COM DI)</t>
  </si>
  <si>
    <t>EQUIP. DISTRIBUIÇÃO DE ASFALTO MONTADO EM CAMINHÃO 150 KW</t>
  </si>
  <si>
    <t>OPERÁRIO</t>
  </si>
  <si>
    <t xml:space="preserve"> </t>
  </si>
  <si>
    <t xml:space="preserve">CUSTO UNITÁRIO  </t>
  </si>
  <si>
    <t>KG</t>
  </si>
  <si>
    <t>CAMINHÃO TANQUE 10.000 l</t>
  </si>
  <si>
    <t>LIMPEZA DE CAMADA VEGETAL</t>
  </si>
  <si>
    <t>MATERIAL DE JAZIDA</t>
  </si>
  <si>
    <t>CAMINHÃO ESPARGIDOR</t>
  </si>
  <si>
    <t>VASSOURA</t>
  </si>
  <si>
    <t xml:space="preserve">    (D) CUSTO UNIT.EXECUÇÃO</t>
  </si>
  <si>
    <t>CARREGADEIRA DE PNEUS - 1,33 m³ (79kW)</t>
  </si>
  <si>
    <t>ROLO COMPACTADOR - DE PNEUS AUTOPROPELIDO 21 t (97kW)</t>
  </si>
  <si>
    <t>DISTRIBUIDOR DE AGREGADOS - REBOCÁVEL</t>
  </si>
  <si>
    <t>TANQUE DE ESTOCAGEM DE ASFALTO - 20.000l</t>
  </si>
  <si>
    <t>AQUECEDOR DE FLUIDO TÉRMICO - (8kW)</t>
  </si>
  <si>
    <t>CAMINHÃO BASCULANTE - 6m³ - 10,5 t (150kW)</t>
  </si>
  <si>
    <t>BRITA COMERCIAL</t>
  </si>
  <si>
    <t>PREÇO UNITÁRIO TOTAL</t>
  </si>
  <si>
    <t>PREÇO UNITÁRIO CAP 20</t>
  </si>
  <si>
    <t>PREÇO UNITÁRIO TRANSPORTE CAP 20</t>
  </si>
  <si>
    <t>ROLO DE PNEUS 21 T</t>
  </si>
  <si>
    <t>CAMINHÃO P/ LA COM RUPT. CONTROLADA</t>
  </si>
  <si>
    <t>PEDRISCO</t>
  </si>
  <si>
    <t>ADITIVO P/ CONTROLE DE RUPTURA</t>
  </si>
  <si>
    <t>ADITIVO SÓLIDO (FIBRAS )</t>
  </si>
  <si>
    <t>PREÇO UNITÁRIO EMULSÃO</t>
  </si>
  <si>
    <t>CUSTO UNITÁRIO TRANSPORTE EMULSÃO</t>
  </si>
  <si>
    <t>OK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</si>
  <si>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</si>
  <si>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</si>
  <si>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</si>
  <si>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</si>
  <si>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</si>
  <si>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</si>
  <si>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</si>
  <si>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</si>
  <si>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</si>
  <si>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</si>
  <si>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</si>
  <si>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</si>
  <si>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</si>
  <si>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</si>
  <si>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</si>
  <si>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</si>
  <si>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</si>
  <si>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</si>
  <si>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</si>
  <si>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</si>
  <si>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</si>
  <si>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</si>
  <si>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</si>
  <si>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</si>
  <si>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</si>
  <si>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</si>
  <si>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</si>
  <si>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</si>
  <si>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</si>
  <si>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</si>
  <si>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</si>
  <si>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</si>
  <si>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</si>
  <si>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TON</t>
  </si>
  <si>
    <t>34</t>
  </si>
  <si>
    <t>AREIA COMERCIAL</t>
  </si>
  <si>
    <t>USINA DE ASFALTO B.GREENE</t>
  </si>
  <si>
    <t>CARREGADEIRA PNEUS CATERPILLAR</t>
  </si>
  <si>
    <t>GRUPO GERADOR 250 KVA</t>
  </si>
  <si>
    <t>TANQUE PARA DEPOSITO DE ASF. DILUÍDO</t>
  </si>
  <si>
    <t>VIBRO ACABADORA ASFALTO B.GREENE</t>
  </si>
  <si>
    <t>ROLO AUTOPROPELIDO LISO VIBRATORIO DYNAPAC</t>
  </si>
  <si>
    <t>TRATOR AGRICOLA PNEUS CBT + VASSOURA MECÂNICA</t>
  </si>
  <si>
    <t>RASTELETEIRO</t>
  </si>
  <si>
    <t>T</t>
  </si>
  <si>
    <t>ROLO AUTOPROPELIDO PNEUS DYNAPAC</t>
  </si>
  <si>
    <t>COMP. DE CUSTOS 2.4</t>
  </si>
  <si>
    <t>COMP. DE CUSTOS 2.18</t>
  </si>
  <si>
    <t>COMP. DE CUSTOS 2.6</t>
  </si>
  <si>
    <t>COMP. DE CUSTOS 2.9</t>
  </si>
  <si>
    <t>COMP. DE CUSTOS 2.12</t>
  </si>
  <si>
    <t>COMP. DE CUSTOS 2.5</t>
  </si>
  <si>
    <t>COMP. DE CUSTOS 2.8</t>
  </si>
  <si>
    <t>COMP. DE CUSTOS 2.3</t>
  </si>
  <si>
    <t>COMP. DE CUSTOS 2.7</t>
  </si>
  <si>
    <t>USINAGEM DE SOLO-BRITA</t>
  </si>
  <si>
    <t>ESTABILIZADOR / RECICLADORA A FRIO</t>
  </si>
  <si>
    <t>CIMENTO PORTLAND CP-32</t>
  </si>
  <si>
    <t>ESCALA SALARIAL DE MÃO-DE-OBRA</t>
  </si>
  <si>
    <t>CÓDIGO</t>
  </si>
  <si>
    <t>CATEGORIA PROFISSIONAL</t>
  </si>
  <si>
    <t>SALÁRIO / HORA</t>
  </si>
  <si>
    <t>R$</t>
  </si>
  <si>
    <t>20000</t>
  </si>
  <si>
    <t>20013</t>
  </si>
  <si>
    <t>20021</t>
  </si>
  <si>
    <t>20045</t>
  </si>
  <si>
    <t>20074</t>
  </si>
  <si>
    <t>DICRIMINAÇÃO</t>
  </si>
  <si>
    <t>PRODUTIVO</t>
  </si>
  <si>
    <t>IMPRODUTIVO</t>
  </si>
  <si>
    <t>(Dj+M+Mt+Mo)</t>
  </si>
  <si>
    <t>(Dj+Mo)</t>
  </si>
  <si>
    <t>39000</t>
  </si>
  <si>
    <t>DISTRIBUIDOR DE AGREGADOS - AUTOPROPELIDO</t>
  </si>
  <si>
    <t>39001</t>
  </si>
  <si>
    <t>39002</t>
  </si>
  <si>
    <t>39003</t>
  </si>
  <si>
    <t>39004</t>
  </si>
  <si>
    <t>39005</t>
  </si>
  <si>
    <t>39006</t>
  </si>
  <si>
    <t>39007</t>
  </si>
  <si>
    <t>39008</t>
  </si>
  <si>
    <t>39009</t>
  </si>
  <si>
    <t>39010</t>
  </si>
  <si>
    <t>39011</t>
  </si>
  <si>
    <t>39012</t>
  </si>
  <si>
    <t>39013</t>
  </si>
  <si>
    <t>39014</t>
  </si>
  <si>
    <t>39015</t>
  </si>
  <si>
    <t>39016</t>
  </si>
  <si>
    <t>39017</t>
  </si>
  <si>
    <t>39018</t>
  </si>
  <si>
    <t>39019</t>
  </si>
  <si>
    <t>39020</t>
  </si>
  <si>
    <t>39021</t>
  </si>
  <si>
    <t>39022</t>
  </si>
  <si>
    <t>39023</t>
  </si>
  <si>
    <t>39024</t>
  </si>
  <si>
    <t>39025</t>
  </si>
  <si>
    <t>39026</t>
  </si>
  <si>
    <t>39027</t>
  </si>
  <si>
    <t>39028</t>
  </si>
  <si>
    <t>39029</t>
  </si>
  <si>
    <t>39030</t>
  </si>
  <si>
    <t>39031</t>
  </si>
  <si>
    <t>39032</t>
  </si>
  <si>
    <t>39033</t>
  </si>
  <si>
    <t>39034</t>
  </si>
  <si>
    <t>39035</t>
  </si>
  <si>
    <t>39036</t>
  </si>
  <si>
    <t>39037</t>
  </si>
  <si>
    <t>39038</t>
  </si>
  <si>
    <t>39039</t>
  </si>
  <si>
    <t>39040</t>
  </si>
  <si>
    <t>VASSOURA MECÂNICA REBOCÁVEL</t>
  </si>
  <si>
    <t>50001</t>
  </si>
  <si>
    <t>50002</t>
  </si>
  <si>
    <t>50003</t>
  </si>
  <si>
    <t>50004</t>
  </si>
  <si>
    <t>50005</t>
  </si>
  <si>
    <t>50007</t>
  </si>
  <si>
    <t>50008</t>
  </si>
  <si>
    <t>50010</t>
  </si>
  <si>
    <t>50011</t>
  </si>
  <si>
    <t>50012</t>
  </si>
  <si>
    <t>50013</t>
  </si>
  <si>
    <t>50014</t>
  </si>
  <si>
    <t>50015</t>
  </si>
  <si>
    <t>50016</t>
  </si>
  <si>
    <t>50017</t>
  </si>
  <si>
    <t>50018</t>
  </si>
  <si>
    <t>50019</t>
  </si>
  <si>
    <t>50020</t>
  </si>
  <si>
    <t>50021</t>
  </si>
  <si>
    <t>50022</t>
  </si>
  <si>
    <t>APOIO DO PORTA DENTE DA FRESADORA 2000 DC</t>
  </si>
  <si>
    <t>DENTE PARA FRESADORA 2000 DC</t>
  </si>
  <si>
    <t>UND</t>
  </si>
  <si>
    <t>MATERIAL DE BASE (CONS)</t>
  </si>
  <si>
    <t>PORTA DENTE PARA FRESADORA 2000 DC</t>
  </si>
  <si>
    <t>60001</t>
  </si>
  <si>
    <t>60002</t>
  </si>
  <si>
    <t>60003</t>
  </si>
  <si>
    <t>60004</t>
  </si>
  <si>
    <t>60005</t>
  </si>
  <si>
    <t>60006</t>
  </si>
  <si>
    <t>60007</t>
  </si>
  <si>
    <t>60008</t>
  </si>
  <si>
    <t>60009</t>
  </si>
  <si>
    <t>60010</t>
  </si>
  <si>
    <t>60011</t>
  </si>
  <si>
    <t>60012</t>
  </si>
  <si>
    <t>60013</t>
  </si>
  <si>
    <t>60014</t>
  </si>
  <si>
    <t>60015</t>
  </si>
  <si>
    <t>60016</t>
  </si>
  <si>
    <t>60017</t>
  </si>
  <si>
    <t>60018</t>
  </si>
  <si>
    <t>60019</t>
  </si>
  <si>
    <t>60020</t>
  </si>
  <si>
    <t>60021</t>
  </si>
  <si>
    <t>AQUISIÇÃO CAP -20</t>
  </si>
  <si>
    <t>AQUISIÇÃO CAP -20 C/ ASFALTO-BORRACHA</t>
  </si>
  <si>
    <t>AQUISIÇÃO CM-30</t>
  </si>
  <si>
    <t>AQUISIÇÃO EMULSÃO C/3,4% DE POLÍMEROS</t>
  </si>
  <si>
    <t>AQUISIÇÃO EMULSÃO RR-1C</t>
  </si>
  <si>
    <t>AQUISIÇÃO EMULSÃO RR-2C</t>
  </si>
  <si>
    <t>TRANSPORTE CAP - 20</t>
  </si>
  <si>
    <t>TRANSPORTE CM-30</t>
  </si>
  <si>
    <t>TRANSPORTE EMULSÃO C/3,4% DE POLÍMEROS</t>
  </si>
  <si>
    <t>TRANSPORTE EMULSÃO RR-1C</t>
  </si>
  <si>
    <t>TRANSPORTE EMULSÃO RR-2C</t>
  </si>
  <si>
    <t>70001</t>
  </si>
  <si>
    <t>70002</t>
  </si>
  <si>
    <t>70003</t>
  </si>
  <si>
    <t>70004</t>
  </si>
  <si>
    <t>70005</t>
  </si>
  <si>
    <t>70006</t>
  </si>
  <si>
    <t>70007</t>
  </si>
  <si>
    <t>70008</t>
  </si>
  <si>
    <t>70009</t>
  </si>
  <si>
    <t>70010</t>
  </si>
  <si>
    <t>70011</t>
  </si>
  <si>
    <t>70012</t>
  </si>
  <si>
    <t>TRANSPORTE CAP -20 C/ ASFALTO-BORRACHA</t>
  </si>
  <si>
    <t>LIMPEZA DE PISTA</t>
  </si>
  <si>
    <t>PINTURA DE LIGAÇÃO</t>
  </si>
  <si>
    <t>RECOMP. DO PAVIMENTO COM CBUQ</t>
  </si>
  <si>
    <t>MOTONIVELADORA - 93 KW</t>
  </si>
  <si>
    <t>ROLO COMPACTADOR PÉ DE CARNEIRO VIBRATORIO 11,25 t ( 85 KW)</t>
  </si>
  <si>
    <t>GRADE DE DISCO - GA 24 x 24</t>
  </si>
  <si>
    <t>50023</t>
  </si>
  <si>
    <t>50024</t>
  </si>
  <si>
    <t>50025</t>
  </si>
  <si>
    <t>RECOMPOSIÇÃO DO PAVIMENTO COM CBUQ</t>
  </si>
  <si>
    <t>50026</t>
  </si>
  <si>
    <t>AREIA LAVADA</t>
  </si>
  <si>
    <t>BRITA 1</t>
  </si>
  <si>
    <t>50027</t>
  </si>
  <si>
    <t>50028</t>
  </si>
  <si>
    <t>50029</t>
  </si>
  <si>
    <t>BRITA 2</t>
  </si>
  <si>
    <t>BRITA 3</t>
  </si>
  <si>
    <t>USINAGEM DE CBUQ</t>
  </si>
  <si>
    <t>CARREGADEIRA DE PNEUS - 3,1 m³ (127KW)</t>
  </si>
  <si>
    <t>39041</t>
  </si>
  <si>
    <t>USINA DE ASFALTO A QUENTE - 90/120 T/H COM FILTRO DE MANGA (188 KW)</t>
  </si>
  <si>
    <t>39042</t>
  </si>
  <si>
    <t>39043</t>
  </si>
  <si>
    <t>GRUPO GERADOR - 164/180 KVA (144kw)</t>
  </si>
  <si>
    <t>GRUPO GERADOR - 36/40 KVA (32kw)</t>
  </si>
  <si>
    <t>50030</t>
  </si>
  <si>
    <t>ÓLEO COMBUSTÍVEL 1A</t>
  </si>
  <si>
    <t>L</t>
  </si>
  <si>
    <t>39044</t>
  </si>
  <si>
    <t>TRATOR DE ESTEIRAS - COM LÂMINA (82 KW)</t>
  </si>
  <si>
    <t>50031</t>
  </si>
  <si>
    <t>INDENIZAÇÃO DE JAZIDA</t>
  </si>
  <si>
    <t>50032</t>
  </si>
  <si>
    <t>ESCAVAÇÃO E CARGA DE MATERIAL DE JAZIDA (CONSV)</t>
  </si>
  <si>
    <t>EXPURGO DE JAZIDA (CONSV)</t>
  </si>
  <si>
    <t>LIMPEZA DE CAMADA VEGETAL EM JAZIDA (CONSV)</t>
  </si>
  <si>
    <t>EXPURGO DE JAZIDA  (CONSV)</t>
  </si>
  <si>
    <t>LIMPEZA DE CAMADA VEGETAL EM JAZIDA  (CONSV)</t>
  </si>
  <si>
    <t>50033</t>
  </si>
  <si>
    <t>50034</t>
  </si>
  <si>
    <t>50035</t>
  </si>
  <si>
    <t>ESCAVAÇÃO E CARGA DE MATERIAL DE JAZIDA (CONST. E RESTR.)</t>
  </si>
  <si>
    <t>EXPURGO DE JAZIDA   (CONST. E RESTR.)</t>
  </si>
  <si>
    <t>LIMPEZA DE CAMADA VEGETAL EM JAZIDA  (CONST. E RESTR.)</t>
  </si>
  <si>
    <t>39045</t>
  </si>
  <si>
    <t>TRATOR DE ESTEIRAS - COM LÂMINA (104 KW)</t>
  </si>
  <si>
    <t>EXPURGO DE JAZIDA (CONST. E RESTR.)</t>
  </si>
  <si>
    <t>LIMPEZA DE CAMADA VEGETAL EM JAZIDA (CONST. E RESTR.)</t>
  </si>
  <si>
    <t>39046</t>
  </si>
  <si>
    <t>USINA MISTURADORA DE SOLOS 350/600 T/H (99 KW)</t>
  </si>
  <si>
    <t>USINAGEM SOLO-BRITA</t>
  </si>
  <si>
    <t>TRANSPORTE LOCAL COM CAMINHÃO BASCULANTE ROD. PAVIMENTADA</t>
  </si>
  <si>
    <t>T/KM</t>
  </si>
  <si>
    <t>TRANSPORTE LOCAL COM CAMINHÃO BASCULANTE ROD. NÃO PAVIMENTADA</t>
  </si>
  <si>
    <t>50037</t>
  </si>
  <si>
    <t>50038</t>
  </si>
  <si>
    <t>REMOÇÃO DE BUEIROS EXISTENTE</t>
  </si>
  <si>
    <t>M</t>
  </si>
  <si>
    <t>REMOÇÃO DE BUEIROS EXISTENTES</t>
  </si>
  <si>
    <t>20007</t>
  </si>
  <si>
    <t>PEDREIRO</t>
  </si>
  <si>
    <t>50039</t>
  </si>
  <si>
    <t>60022</t>
  </si>
  <si>
    <t>MATERIAL DEMOLIDO</t>
  </si>
  <si>
    <t>T/M</t>
  </si>
  <si>
    <t>DEFENSA SEMI-MALEÁVEL SIMPLES (FORN. / IMPL.)</t>
  </si>
  <si>
    <t>ANCORAGEM DEFENSA SEMI-MALEÁVEL SIMPLES (FORN. / IMPL.)</t>
  </si>
  <si>
    <t>39047</t>
  </si>
  <si>
    <t>MARTELETE - ROMPEDOR 33KG</t>
  </si>
  <si>
    <t>CAMINHÃO  CARROCERIA 4T (80 KW)</t>
  </si>
  <si>
    <t>20028</t>
  </si>
  <si>
    <t>MONTADOR</t>
  </si>
  <si>
    <t>50040</t>
  </si>
  <si>
    <t>DEFENSA SEMI-MALEÁVEL SIMPLES</t>
  </si>
  <si>
    <t>50041</t>
  </si>
  <si>
    <t>50042</t>
  </si>
  <si>
    <t>BASE DE BRITA GRADUADA</t>
  </si>
  <si>
    <t>50043</t>
  </si>
  <si>
    <t>USINAGEM DE BRITA GRADUADA</t>
  </si>
  <si>
    <t>50044</t>
  </si>
  <si>
    <t>BRITA PRODUZIDA EM CENTRAL DE BRITAGEM 80M3/H</t>
  </si>
  <si>
    <t>50045</t>
  </si>
  <si>
    <t>ROCHA P/ BRITAGEM C/ PERFUR. SOBRE ESTEIRA</t>
  </si>
  <si>
    <t>ROCHA P/ BRITAGEM COM PERFUR. MANUAL</t>
  </si>
  <si>
    <t>39048</t>
  </si>
  <si>
    <t>MARTELETE - PERFURATRIZ MANUAL</t>
  </si>
  <si>
    <t>39049</t>
  </si>
  <si>
    <t>39050</t>
  </si>
  <si>
    <t>COMPRESSOR DE AR - PORTÁTIL 375 PCM (87 KW)</t>
  </si>
  <si>
    <t>CAMINHÃO BASCULANTE 8m3 - 13 T (170 KW)</t>
  </si>
  <si>
    <t>20075</t>
  </si>
  <si>
    <t>20076</t>
  </si>
  <si>
    <t>ENCARREGADO DE BRITAGEM</t>
  </si>
  <si>
    <t>BLASTER</t>
  </si>
  <si>
    <t>SÉRIE DE BROCAS S-12 D=22MM</t>
  </si>
  <si>
    <t>DINAMITE A 60% (GELATINA ESPECIAL)</t>
  </si>
  <si>
    <t>ESPOLETA COMUM N.8</t>
  </si>
  <si>
    <t>CORDEL DETONANTE NP 10</t>
  </si>
  <si>
    <t>RETARDADOR DE CORDEL</t>
  </si>
  <si>
    <t>ESTOPIM</t>
  </si>
  <si>
    <t>50046</t>
  </si>
  <si>
    <t>50047</t>
  </si>
  <si>
    <t>50048</t>
  </si>
  <si>
    <t>50049</t>
  </si>
  <si>
    <t>50050</t>
  </si>
  <si>
    <t>50051</t>
  </si>
  <si>
    <t>HASTE PARA PERFURATRIZ DE ESTEIRA</t>
  </si>
  <si>
    <t>LUVA PARA PERFURATRIZ DE ESTEIRA</t>
  </si>
  <si>
    <t>PUNHO PARA PERFURATRIZ DE ESTEIRA</t>
  </si>
  <si>
    <t>50052</t>
  </si>
  <si>
    <t>50053</t>
  </si>
  <si>
    <t>50054</t>
  </si>
  <si>
    <t>39051</t>
  </si>
  <si>
    <t>39052</t>
  </si>
  <si>
    <t>39053</t>
  </si>
  <si>
    <t>COMPRESSOR DE AR - PORTÁTIL 764 PCM (200 KW)</t>
  </si>
  <si>
    <t>PERFURATRIZ SOBRE ESTEIRAS - CRAWLER DRILL</t>
  </si>
  <si>
    <t>CAMINHÃO BASCULANTE - PARA ROCHA 18T (235KW)</t>
  </si>
  <si>
    <t>39054</t>
  </si>
  <si>
    <t>39055</t>
  </si>
  <si>
    <t>GRUPO GERADOR - 241/265 KVA (212 KW)</t>
  </si>
  <si>
    <t>CONJUNTO DE BRITAGEM - 80 M3/H (292 KW)</t>
  </si>
  <si>
    <t>60023</t>
  </si>
  <si>
    <t>50057</t>
  </si>
  <si>
    <t>ESCAVAÇÃO MECÂNICA DA BASE</t>
  </si>
  <si>
    <t>60024</t>
  </si>
  <si>
    <t>MATERIAL ESCAVADO</t>
  </si>
  <si>
    <t>50058</t>
  </si>
  <si>
    <t>REMOÇÃO DA CAPA ASFÁLTICA (1)</t>
  </si>
  <si>
    <t>50059</t>
  </si>
  <si>
    <t>DEMOLIÇÃO DE DISPOSITIVOS DE CONCRETO SIMPLES</t>
  </si>
  <si>
    <t>50060</t>
  </si>
  <si>
    <t>AREIA EXTRAÍDA</t>
  </si>
  <si>
    <t>50061</t>
  </si>
  <si>
    <t>ESPALHAMENTO DE MATERIAL</t>
  </si>
  <si>
    <t>T.KM</t>
  </si>
  <si>
    <t>RESUMO - COMPOSIÇÕES DE CUSTOS UNITÁRIOS (BASE = JAN/07)</t>
  </si>
  <si>
    <t>BRITA DE USINA</t>
  </si>
  <si>
    <t>50062</t>
  </si>
  <si>
    <t>USINAGEM DE SOLO-CIMENTO</t>
  </si>
  <si>
    <t>50063</t>
  </si>
  <si>
    <t>39056</t>
  </si>
  <si>
    <t>MOTONIVELADORA CATERPILLAR CAT-1208</t>
  </si>
  <si>
    <t>39057</t>
  </si>
  <si>
    <t>CAMINHÃO IRRIGADEIRA MB L2214/42</t>
  </si>
  <si>
    <t>39058</t>
  </si>
  <si>
    <t>CAMINHÃO DISTRIBUIDOR DE CIMENTO</t>
  </si>
  <si>
    <t>50064</t>
  </si>
  <si>
    <t>50065</t>
  </si>
  <si>
    <t>PORTA DENTE PARA FRESADORA 1000 DC</t>
  </si>
  <si>
    <t>AGENTE DE RECICLAGEM ARE-1 / ARE-250</t>
  </si>
  <si>
    <t>BITS</t>
  </si>
  <si>
    <t>70013</t>
  </si>
  <si>
    <t>70014</t>
  </si>
  <si>
    <t>TRANSPORTE AGENTE DE RECICLAGEM ARE-1 / ARE-250</t>
  </si>
  <si>
    <t>DATA BASE</t>
  </si>
  <si>
    <t>CAP - 20</t>
  </si>
  <si>
    <t>TRANSP. COMERCIAL DE AREIA</t>
  </si>
  <si>
    <t xml:space="preserve">TRANSP. COMERCIAL DE BRITA </t>
  </si>
  <si>
    <t>70015</t>
  </si>
  <si>
    <t>70016</t>
  </si>
  <si>
    <t>AQUISIÇÃO CAP-20 C/ POLÍMEROS</t>
  </si>
  <si>
    <t>TRANSPORTE CAP-20 C/ POLÍMERO</t>
  </si>
  <si>
    <t>COMP. DE CUSTOS 1.1</t>
  </si>
  <si>
    <t>COMP. DE CUSTOS 1.2</t>
  </si>
  <si>
    <t>5 S 02 501 01</t>
  </si>
  <si>
    <t>2 S 02 400 00</t>
  </si>
  <si>
    <t>5 S 02 300 00</t>
  </si>
  <si>
    <t>4 S 06 010 01</t>
  </si>
  <si>
    <t>&gt; 1    ???</t>
  </si>
  <si>
    <t>Valores diferentes ??</t>
  </si>
  <si>
    <t>60025</t>
  </si>
  <si>
    <t>TRANSP. DE MAT. FRESAGEM</t>
  </si>
  <si>
    <t>LOCAL C/ CAM. BASC. ROD. PAV.</t>
  </si>
  <si>
    <t>LOCAL C/ CAM. BASC. ROD.NAO PAV.</t>
  </si>
  <si>
    <t>CAMINHÃO MUNCK</t>
  </si>
  <si>
    <t>39059</t>
  </si>
  <si>
    <t>50066</t>
  </si>
  <si>
    <t>ANCORAGEM DEFENSA SEMI-MALEÁVEL SIMPLES</t>
  </si>
  <si>
    <t>ANCORAGEM DE DEFENSA SEMI-MALEÁVEL SIMPLES (FORN. / IMPL.)</t>
  </si>
  <si>
    <t>DIST. (km)</t>
  </si>
  <si>
    <t>REGULARIZAÇÃO DO SUBLEITO</t>
  </si>
  <si>
    <t>REFORÇO DO SUBLEITO</t>
  </si>
  <si>
    <t>SUB-BASE SOLO ESTABILIZADO GRANULOMETRICAMENTE S/MISTURA</t>
  </si>
  <si>
    <t>BASE SOLO ESTABILIZADO GRANULOMETRICAMENTE S/MISTURA</t>
  </si>
  <si>
    <t>BASE ESTABILIZADA GRANULOMETRICAMENTE C/MISTURA SOLO-BRITA</t>
  </si>
  <si>
    <t>BASE DE BRITA GRADUADA SIMPLES - BGS</t>
  </si>
  <si>
    <t>BASE DE SOLO-CIMENTO C/ MISTURA EM USINA</t>
  </si>
  <si>
    <t>EXECUÇÃO DE SUB-BASE COM BRITA GRADUADA TRATADA COM CIMENTO - BGTC</t>
  </si>
  <si>
    <t>DEMOLIÇÃO DE PAVIMENTO ASFÁLTICO</t>
  </si>
  <si>
    <t>DEMOLIÇÃO DE DISPOSITIVOS DE DRENAGEM</t>
  </si>
  <si>
    <t>RECICLAGEM A FRIO IN SITU DE REVESTIMENTO ASFÁLTICO  COM EMULSÃO</t>
  </si>
  <si>
    <t>CAMADA DRENANTE PARA FUNDAÇÃO DE ATERRO</t>
  </si>
  <si>
    <t>RECUPERAÇÃO DE DEFENSA METÁLICA</t>
  </si>
  <si>
    <t>SUBSTITUIÇÃO DE DEFENSA METÁLICA</t>
  </si>
  <si>
    <t>IMPLANTAÇÃO DE DEFENSA METÁLICA</t>
  </si>
  <si>
    <t>KM</t>
  </si>
  <si>
    <t>USIN. DE SOLO-BRITA / SOLO-CIMENTO</t>
  </si>
  <si>
    <t>USINAGEM DE BRITA GRAD. (USINA - PISTA)</t>
  </si>
  <si>
    <t>BRITA ( PED - USINA )</t>
  </si>
  <si>
    <t>AREIA ( AREAL - USINA )</t>
  </si>
  <si>
    <t>E112</t>
  </si>
  <si>
    <t>E401</t>
  </si>
  <si>
    <t>E400</t>
  </si>
  <si>
    <t>E403</t>
  </si>
  <si>
    <t>E405</t>
  </si>
  <si>
    <t>E161</t>
  </si>
  <si>
    <t>E407</t>
  </si>
  <si>
    <t>E406</t>
  </si>
  <si>
    <t>E009</t>
  </si>
  <si>
    <t>E156</t>
  </si>
  <si>
    <t>E914</t>
  </si>
  <si>
    <t>E906</t>
  </si>
  <si>
    <t>E208</t>
  </si>
  <si>
    <t>E109</t>
  </si>
  <si>
    <t>E108</t>
  </si>
  <si>
    <t>E101</t>
  </si>
  <si>
    <t>E127</t>
  </si>
  <si>
    <t>E138</t>
  </si>
  <si>
    <t>E111</t>
  </si>
  <si>
    <t>E504</t>
  </si>
  <si>
    <t>E006</t>
  </si>
  <si>
    <t>E209</t>
  </si>
  <si>
    <t>E121</t>
  </si>
  <si>
    <t>E119</t>
  </si>
  <si>
    <t>E142</t>
  </si>
  <si>
    <t>E010</t>
  </si>
  <si>
    <t>E013</t>
  </si>
  <si>
    <t>E102</t>
  </si>
  <si>
    <t>E110</t>
  </si>
  <si>
    <t>E007</t>
  </si>
  <si>
    <t>E107</t>
  </si>
  <si>
    <t>E501</t>
  </si>
  <si>
    <t>E503</t>
  </si>
  <si>
    <t>E002</t>
  </si>
  <si>
    <t>E003</t>
  </si>
  <si>
    <t>E106</t>
  </si>
  <si>
    <t>E204</t>
  </si>
  <si>
    <t>E210</t>
  </si>
  <si>
    <t>E223</t>
  </si>
  <si>
    <t>E203</t>
  </si>
  <si>
    <t>E205</t>
  </si>
  <si>
    <t>E433</t>
  </si>
  <si>
    <t>E225</t>
  </si>
  <si>
    <t>E422</t>
  </si>
  <si>
    <t>E434</t>
  </si>
  <si>
    <t>BD</t>
  </si>
  <si>
    <t>SICRO</t>
  </si>
  <si>
    <t xml:space="preserve">COTAÇÃO </t>
  </si>
  <si>
    <t>COMPOSIÇÕES AUXILIARES</t>
  </si>
  <si>
    <t>Para o trecho em estudo, adotou-se a DMT=435,83km entre a refinaria Refinaria Gabriel Passos (REGAP) localizada em Betim/MG e as Usinas.</t>
  </si>
  <si>
    <t>SINDICATO MG</t>
  </si>
  <si>
    <t>• Custos (Data Base – 11/12)</t>
  </si>
  <si>
    <t>COTAÇÃO GRECA</t>
  </si>
  <si>
    <t>*TRANSPORTE = R$ 230,69 é para 410 km</t>
  </si>
  <si>
    <t>ORIGEM</t>
  </si>
  <si>
    <t>( Referência  -Novembro/2012 )</t>
  </si>
</sst>
</file>

<file path=xl/styles.xml><?xml version="1.0" encoding="utf-8"?>
<styleSheet xmlns="http://schemas.openxmlformats.org/spreadsheetml/2006/main">
  <numFmts count="10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\$#,##0\ ;\(\$#,##0\)"/>
    <numFmt numFmtId="166" formatCode="_(&quot;Cr$&quot;* #,##0.00_);_(&quot;Cr$&quot;* \(#,##0.00\);_(&quot;Cr$&quot;* &quot;-&quot;??_);_(@_)"/>
    <numFmt numFmtId="167" formatCode="0.0"/>
    <numFmt numFmtId="168" formatCode="#,##0.0000"/>
    <numFmt numFmtId="169" formatCode="#,##0.0"/>
    <numFmt numFmtId="170" formatCode="0.0000"/>
    <numFmt numFmtId="171" formatCode="#,##0.0000_);\(#,##0.0000\)"/>
  </numFmts>
  <fonts count="41">
    <font>
      <sz val="10"/>
      <name val="Arial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0"/>
      <color indexed="24"/>
      <name val="Arial"/>
      <family val="2"/>
    </font>
    <font>
      <sz val="12"/>
      <color indexed="24"/>
      <name val="Arial"/>
      <family val="2"/>
    </font>
    <font>
      <sz val="10"/>
      <name val="Courier"/>
      <family val="3"/>
    </font>
    <font>
      <sz val="9"/>
      <name val="Comic Sans MS"/>
      <family val="4"/>
    </font>
    <font>
      <b/>
      <sz val="8"/>
      <color indexed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u/>
      <sz val="9"/>
      <color indexed="12"/>
      <name val="Comic Sans MS"/>
      <family val="4"/>
    </font>
    <font>
      <b/>
      <sz val="16"/>
      <name val="Tahoma"/>
      <family val="2"/>
    </font>
    <font>
      <sz val="16"/>
      <name val="Tahoma"/>
      <family val="2"/>
    </font>
    <font>
      <b/>
      <sz val="14"/>
      <name val="Arial"/>
      <family val="2"/>
    </font>
    <font>
      <b/>
      <sz val="11"/>
      <name val="Tahoma"/>
      <family val="2"/>
    </font>
    <font>
      <sz val="11"/>
      <name val="Tahoma"/>
      <family val="2"/>
    </font>
    <font>
      <b/>
      <sz val="10"/>
      <name val="Tahoma"/>
      <family val="2"/>
    </font>
    <font>
      <sz val="10"/>
      <name val="Tahoma"/>
      <family val="2"/>
    </font>
    <font>
      <sz val="9"/>
      <name val="BankGothic Lt BT"/>
      <family val="2"/>
    </font>
    <font>
      <b/>
      <sz val="9"/>
      <name val="BankGothic Lt BT"/>
      <family val="2"/>
    </font>
    <font>
      <b/>
      <sz val="12"/>
      <name val="BankGothic Lt BT"/>
      <family val="2"/>
    </font>
    <font>
      <sz val="8"/>
      <name val="BankGothic Lt BT"/>
      <family val="2"/>
    </font>
    <font>
      <sz val="12"/>
      <name val="BankGothic Lt BT"/>
      <family val="2"/>
    </font>
    <font>
      <b/>
      <sz val="14"/>
      <name val="Tahoma"/>
      <family val="2"/>
    </font>
    <font>
      <b/>
      <sz val="18"/>
      <name val="Arial"/>
      <family val="2"/>
    </font>
    <font>
      <u/>
      <sz val="12"/>
      <color indexed="12"/>
      <name val="Comic Sans MS"/>
      <family val="4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sz val="14"/>
      <color indexed="9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4"/>
      <name val="Tahoma"/>
      <family val="2"/>
    </font>
    <font>
      <u/>
      <sz val="12"/>
      <color indexed="12"/>
      <name val="Arial"/>
      <family val="2"/>
    </font>
    <font>
      <b/>
      <sz val="8"/>
      <name val="BankGothic Lt BT"/>
    </font>
    <font>
      <b/>
      <sz val="9"/>
      <name val="BankGothic Lt BT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2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3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8" fillId="0" borderId="0"/>
    <xf numFmtId="165" fontId="7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9" fillId="0" borderId="0"/>
    <xf numFmtId="0" fontId="9" fillId="0" borderId="0"/>
    <xf numFmtId="9" fontId="1" fillId="0" borderId="0" applyFont="0" applyFill="0" applyBorder="0" applyAlignment="0" applyProtection="0"/>
    <xf numFmtId="4" fontId="10" fillId="2" borderId="1" applyBorder="0" applyProtection="0"/>
    <xf numFmtId="164" fontId="1" fillId="0" borderId="0" applyFont="0" applyFill="0" applyBorder="0" applyAlignment="0" applyProtection="0"/>
    <xf numFmtId="3" fontId="7" fillId="0" borderId="0" applyFont="0" applyFill="0" applyBorder="0" applyAlignment="0" applyProtection="0"/>
  </cellStyleXfs>
  <cellXfs count="614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vertical="center"/>
    </xf>
    <xf numFmtId="0" fontId="11" fillId="0" borderId="6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7" fillId="0" borderId="0" xfId="11" applyFont="1" applyFill="1" applyAlignment="1">
      <alignment horizontal="centerContinuous" vertical="center"/>
    </xf>
    <xf numFmtId="0" fontId="18" fillId="0" borderId="0" xfId="11" applyFont="1" applyFill="1" applyAlignment="1">
      <alignment horizontal="centerContinuous" vertical="center"/>
    </xf>
    <xf numFmtId="4" fontId="13" fillId="0" borderId="9" xfId="0" applyNumberFormat="1" applyFont="1" applyFill="1" applyBorder="1" applyAlignment="1">
      <alignment horizontal="center" vertical="center"/>
    </xf>
    <xf numFmtId="4" fontId="13" fillId="0" borderId="10" xfId="0" applyNumberFormat="1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17" fontId="13" fillId="0" borderId="11" xfId="0" applyNumberFormat="1" applyFont="1" applyFill="1" applyBorder="1" applyAlignment="1">
      <alignment horizontal="center" vertical="center"/>
    </xf>
    <xf numFmtId="17" fontId="11" fillId="0" borderId="14" xfId="0" applyNumberFormat="1" applyFont="1" applyFill="1" applyBorder="1" applyAlignment="1">
      <alignment horizontal="center" vertical="center"/>
    </xf>
    <xf numFmtId="4" fontId="13" fillId="0" borderId="15" xfId="0" applyNumberFormat="1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center"/>
    </xf>
    <xf numFmtId="4" fontId="13" fillId="0" borderId="16" xfId="0" applyNumberFormat="1" applyFont="1" applyFill="1" applyBorder="1" applyAlignment="1">
      <alignment horizontal="center" vertical="center"/>
    </xf>
    <xf numFmtId="4" fontId="13" fillId="0" borderId="11" xfId="0" applyNumberFormat="1" applyFont="1" applyFill="1" applyBorder="1" applyAlignment="1">
      <alignment horizontal="center" vertical="center"/>
    </xf>
    <xf numFmtId="4" fontId="13" fillId="0" borderId="13" xfId="0" applyNumberFormat="1" applyFont="1" applyFill="1" applyBorder="1" applyAlignment="1">
      <alignment horizontal="center" vertical="center"/>
    </xf>
    <xf numFmtId="4" fontId="13" fillId="0" borderId="17" xfId="0" applyNumberFormat="1" applyFont="1" applyFill="1" applyBorder="1" applyAlignment="1">
      <alignment horizontal="center" vertical="center"/>
    </xf>
    <xf numFmtId="4" fontId="13" fillId="0" borderId="7" xfId="0" applyNumberFormat="1" applyFont="1" applyFill="1" applyBorder="1" applyAlignment="1">
      <alignment horizontal="center" vertical="center"/>
    </xf>
    <xf numFmtId="4" fontId="13" fillId="0" borderId="18" xfId="0" applyNumberFormat="1" applyFont="1" applyFill="1" applyBorder="1" applyAlignment="1">
      <alignment horizontal="center" vertical="center"/>
    </xf>
    <xf numFmtId="4" fontId="13" fillId="0" borderId="19" xfId="0" applyNumberFormat="1" applyFont="1" applyFill="1" applyBorder="1" applyAlignment="1">
      <alignment horizontal="center" vertical="center"/>
    </xf>
    <xf numFmtId="4" fontId="14" fillId="0" borderId="20" xfId="0" applyNumberFormat="1" applyFont="1" applyFill="1" applyBorder="1" applyAlignment="1">
      <alignment horizontal="left" vertical="center"/>
    </xf>
    <xf numFmtId="4" fontId="14" fillId="0" borderId="12" xfId="0" applyNumberFormat="1" applyFont="1" applyFill="1" applyBorder="1" applyAlignment="1">
      <alignment horizontal="left" vertical="center"/>
    </xf>
    <xf numFmtId="4" fontId="14" fillId="0" borderId="13" xfId="0" applyNumberFormat="1" applyFont="1" applyFill="1" applyBorder="1" applyAlignment="1">
      <alignment horizontal="left" vertical="center"/>
    </xf>
    <xf numFmtId="2" fontId="14" fillId="0" borderId="19" xfId="0" applyNumberFormat="1" applyFont="1" applyFill="1" applyBorder="1" applyAlignment="1">
      <alignment horizontal="center" vertical="center"/>
    </xf>
    <xf numFmtId="2" fontId="14" fillId="0" borderId="2" xfId="0" applyNumberFormat="1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justify" vertical="center" wrapText="1"/>
    </xf>
    <xf numFmtId="0" fontId="14" fillId="0" borderId="0" xfId="0" applyFont="1" applyFill="1" applyBorder="1" applyAlignment="1">
      <alignment vertical="center"/>
    </xf>
    <xf numFmtId="2" fontId="14" fillId="0" borderId="0" xfId="0" applyNumberFormat="1" applyFont="1" applyFill="1" applyBorder="1" applyAlignment="1">
      <alignment vertical="center"/>
    </xf>
    <xf numFmtId="4" fontId="14" fillId="0" borderId="0" xfId="0" applyNumberFormat="1" applyFont="1" applyFill="1" applyBorder="1" applyAlignment="1">
      <alignment vertical="center"/>
    </xf>
    <xf numFmtId="0" fontId="13" fillId="0" borderId="20" xfId="0" applyFont="1" applyFill="1" applyBorder="1" applyAlignment="1">
      <alignment horizontal="center" vertical="center"/>
    </xf>
    <xf numFmtId="2" fontId="13" fillId="0" borderId="2" xfId="0" applyNumberFormat="1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left" vertical="center"/>
    </xf>
    <xf numFmtId="0" fontId="14" fillId="0" borderId="12" xfId="0" applyFont="1" applyFill="1" applyBorder="1" applyAlignment="1">
      <alignment horizontal="left" vertical="center"/>
    </xf>
    <xf numFmtId="0" fontId="14" fillId="0" borderId="13" xfId="0" applyFont="1" applyFill="1" applyBorder="1" applyAlignment="1">
      <alignment horizontal="left" vertical="center"/>
    </xf>
    <xf numFmtId="4" fontId="14" fillId="0" borderId="2" xfId="0" applyNumberFormat="1" applyFont="1" applyFill="1" applyBorder="1" applyAlignment="1">
      <alignment horizontal="center" vertical="center"/>
    </xf>
    <xf numFmtId="10" fontId="14" fillId="0" borderId="2" xfId="12" applyNumberFormat="1" applyFont="1" applyFill="1" applyBorder="1" applyAlignment="1">
      <alignment horizontal="center" vertical="center"/>
    </xf>
    <xf numFmtId="4" fontId="14" fillId="0" borderId="13" xfId="0" applyNumberFormat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left" vertical="center"/>
    </xf>
    <xf numFmtId="0" fontId="14" fillId="0" borderId="6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164" fontId="14" fillId="0" borderId="0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2" fontId="13" fillId="0" borderId="0" xfId="0" applyNumberFormat="1" applyFont="1" applyFill="1" applyBorder="1" applyAlignment="1">
      <alignment horizontal="centerContinuous" vertical="center" wrapText="1"/>
    </xf>
    <xf numFmtId="0" fontId="13" fillId="0" borderId="21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2" fontId="14" fillId="0" borderId="2" xfId="0" applyNumberFormat="1" applyFont="1" applyFill="1" applyBorder="1" applyAlignment="1">
      <alignment horizontal="centerContinuous" vertical="center"/>
    </xf>
    <xf numFmtId="4" fontId="14" fillId="0" borderId="2" xfId="0" applyNumberFormat="1" applyFont="1" applyFill="1" applyBorder="1" applyAlignment="1">
      <alignment horizontal="right" vertical="center"/>
    </xf>
    <xf numFmtId="168" fontId="14" fillId="0" borderId="2" xfId="0" applyNumberFormat="1" applyFont="1" applyFill="1" applyBorder="1" applyAlignment="1">
      <alignment horizontal="right" vertical="center"/>
    </xf>
    <xf numFmtId="168" fontId="14" fillId="0" borderId="22" xfId="0" applyNumberFormat="1" applyFont="1" applyFill="1" applyBorder="1" applyAlignment="1">
      <alignment horizontal="right" vertical="center"/>
    </xf>
    <xf numFmtId="170" fontId="14" fillId="0" borderId="2" xfId="0" applyNumberFormat="1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centerContinuous" vertical="center"/>
    </xf>
    <xf numFmtId="0" fontId="13" fillId="0" borderId="3" xfId="0" applyFont="1" applyFill="1" applyBorder="1" applyAlignment="1">
      <alignment horizontal="centerContinuous" vertical="center"/>
    </xf>
    <xf numFmtId="0" fontId="13" fillId="0" borderId="6" xfId="0" applyFont="1" applyFill="1" applyBorder="1" applyAlignment="1">
      <alignment horizontal="centerContinuous" vertical="center"/>
    </xf>
    <xf numFmtId="0" fontId="13" fillId="0" borderId="16" xfId="0" applyFont="1" applyFill="1" applyBorder="1" applyAlignment="1">
      <alignment horizontal="centerContinuous" vertical="center"/>
    </xf>
    <xf numFmtId="2" fontId="14" fillId="0" borderId="2" xfId="0" applyNumberFormat="1" applyFont="1" applyFill="1" applyBorder="1" applyAlignment="1">
      <alignment horizontal="right" vertical="center"/>
    </xf>
    <xf numFmtId="0" fontId="14" fillId="0" borderId="2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3" fillId="0" borderId="13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vertical="center"/>
    </xf>
    <xf numFmtId="10" fontId="13" fillId="0" borderId="12" xfId="11" applyNumberFormat="1" applyFont="1" applyFill="1" applyBorder="1" applyAlignment="1">
      <alignment vertical="center"/>
    </xf>
    <xf numFmtId="0" fontId="13" fillId="0" borderId="11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0" fontId="13" fillId="0" borderId="13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vertical="center"/>
    </xf>
    <xf numFmtId="0" fontId="14" fillId="0" borderId="24" xfId="0" applyFont="1" applyFill="1" applyBorder="1" applyAlignment="1">
      <alignment vertical="center"/>
    </xf>
    <xf numFmtId="0" fontId="13" fillId="0" borderId="25" xfId="0" applyFont="1" applyFill="1" applyBorder="1" applyAlignment="1">
      <alignment horizontal="left" vertical="center"/>
    </xf>
    <xf numFmtId="0" fontId="14" fillId="0" borderId="26" xfId="0" applyFont="1" applyFill="1" applyBorder="1" applyAlignment="1">
      <alignment vertical="center"/>
    </xf>
    <xf numFmtId="0" fontId="13" fillId="0" borderId="26" xfId="0" applyFont="1" applyFill="1" applyBorder="1" applyAlignment="1">
      <alignment horizontal="left" vertical="center"/>
    </xf>
    <xf numFmtId="0" fontId="13" fillId="0" borderId="27" xfId="0" applyFont="1" applyFill="1" applyBorder="1" applyAlignment="1">
      <alignment horizontal="left" vertical="center"/>
    </xf>
    <xf numFmtId="9" fontId="13" fillId="0" borderId="0" xfId="12" applyFont="1" applyFill="1" applyAlignment="1">
      <alignment vertical="center"/>
    </xf>
    <xf numFmtId="4" fontId="14" fillId="0" borderId="6" xfId="0" applyNumberFormat="1" applyFont="1" applyFill="1" applyBorder="1" applyAlignment="1">
      <alignment horizontal="left" vertical="center"/>
    </xf>
    <xf numFmtId="4" fontId="14" fillId="0" borderId="16" xfId="0" applyNumberFormat="1" applyFont="1" applyFill="1" applyBorder="1" applyAlignment="1">
      <alignment horizontal="left" vertical="center"/>
    </xf>
    <xf numFmtId="4" fontId="14" fillId="0" borderId="17" xfId="0" applyNumberFormat="1" applyFont="1" applyFill="1" applyBorder="1" applyAlignment="1">
      <alignment horizontal="left" vertical="center"/>
    </xf>
    <xf numFmtId="4" fontId="14" fillId="0" borderId="7" xfId="0" applyNumberFormat="1" applyFont="1" applyFill="1" applyBorder="1" applyAlignment="1">
      <alignment horizontal="left" vertical="center"/>
    </xf>
    <xf numFmtId="4" fontId="14" fillId="0" borderId="18" xfId="0" applyNumberFormat="1" applyFont="1" applyFill="1" applyBorder="1" applyAlignment="1">
      <alignment horizontal="left" vertical="center"/>
    </xf>
    <xf numFmtId="168" fontId="14" fillId="0" borderId="0" xfId="0" applyNumberFormat="1" applyFont="1" applyFill="1" applyAlignment="1">
      <alignment vertical="center"/>
    </xf>
    <xf numFmtId="0" fontId="13" fillId="0" borderId="3" xfId="0" applyFont="1" applyFill="1" applyBorder="1" applyAlignment="1">
      <alignment horizontal="left" vertical="center"/>
    </xf>
    <xf numFmtId="0" fontId="14" fillId="0" borderId="21" xfId="0" applyFont="1" applyFill="1" applyBorder="1" applyAlignment="1">
      <alignment horizontal="right" vertical="center"/>
    </xf>
    <xf numFmtId="2" fontId="13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Continuous" vertical="center"/>
    </xf>
    <xf numFmtId="170" fontId="14" fillId="0" borderId="0" xfId="0" applyNumberFormat="1" applyFont="1" applyFill="1" applyAlignment="1">
      <alignment vertical="center"/>
    </xf>
    <xf numFmtId="0" fontId="14" fillId="0" borderId="23" xfId="0" applyFont="1" applyFill="1" applyBorder="1" applyAlignment="1">
      <alignment horizontal="right" vertical="center"/>
    </xf>
    <xf numFmtId="2" fontId="13" fillId="0" borderId="24" xfId="0" applyNumberFormat="1" applyFont="1" applyFill="1" applyBorder="1" applyAlignment="1">
      <alignment horizontal="left" vertical="center"/>
    </xf>
    <xf numFmtId="0" fontId="14" fillId="0" borderId="24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vertical="center" wrapText="1"/>
    </xf>
    <xf numFmtId="0" fontId="14" fillId="0" borderId="28" xfId="0" applyFont="1" applyFill="1" applyBorder="1" applyAlignment="1">
      <alignment horizontal="right" vertical="center"/>
    </xf>
    <xf numFmtId="2" fontId="13" fillId="0" borderId="29" xfId="0" applyNumberFormat="1" applyFont="1" applyFill="1" applyBorder="1" applyAlignment="1">
      <alignment horizontal="left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vertical="center" wrapText="1"/>
    </xf>
    <xf numFmtId="0" fontId="14" fillId="0" borderId="29" xfId="0" applyFont="1" applyFill="1" applyBorder="1" applyAlignment="1">
      <alignment vertical="center"/>
    </xf>
    <xf numFmtId="0" fontId="13" fillId="0" borderId="29" xfId="0" applyFont="1" applyFill="1" applyBorder="1" applyAlignment="1">
      <alignment horizontal="left" vertical="center"/>
    </xf>
    <xf numFmtId="0" fontId="13" fillId="0" borderId="24" xfId="0" applyFont="1" applyFill="1" applyBorder="1" applyAlignment="1">
      <alignment horizontal="left" vertical="center"/>
    </xf>
    <xf numFmtId="2" fontId="13" fillId="0" borderId="19" xfId="0" applyNumberFormat="1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left" vertical="center"/>
    </xf>
    <xf numFmtId="0" fontId="14" fillId="0" borderId="16" xfId="0" applyFont="1" applyFill="1" applyBorder="1" applyAlignment="1">
      <alignment horizontal="left" vertical="center"/>
    </xf>
    <xf numFmtId="0" fontId="14" fillId="0" borderId="30" xfId="0" applyFont="1" applyFill="1" applyBorder="1" applyAlignment="1">
      <alignment horizontal="left" vertical="center"/>
    </xf>
    <xf numFmtId="0" fontId="14" fillId="0" borderId="17" xfId="0" applyFont="1" applyFill="1" applyBorder="1" applyAlignment="1">
      <alignment horizontal="left" vertical="center"/>
    </xf>
    <xf numFmtId="0" fontId="14" fillId="0" borderId="7" xfId="0" applyFont="1" applyFill="1" applyBorder="1" applyAlignment="1">
      <alignment horizontal="left" vertical="center"/>
    </xf>
    <xf numFmtId="0" fontId="14" fillId="0" borderId="18" xfId="0" applyFont="1" applyFill="1" applyBorder="1" applyAlignment="1">
      <alignment horizontal="left" vertical="center"/>
    </xf>
    <xf numFmtId="0" fontId="13" fillId="0" borderId="16" xfId="0" applyFont="1" applyFill="1" applyBorder="1" applyAlignment="1">
      <alignment horizontal="left" vertical="center"/>
    </xf>
    <xf numFmtId="0" fontId="14" fillId="0" borderId="31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vertical="center" wrapText="1"/>
    </xf>
    <xf numFmtId="0" fontId="14" fillId="0" borderId="32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10" fontId="13" fillId="0" borderId="33" xfId="11" applyNumberFormat="1" applyFont="1" applyFill="1" applyBorder="1" applyAlignment="1">
      <alignment vertical="center"/>
    </xf>
    <xf numFmtId="10" fontId="13" fillId="0" borderId="29" xfId="11" applyNumberFormat="1" applyFont="1" applyFill="1" applyBorder="1" applyAlignment="1">
      <alignment vertical="center"/>
    </xf>
    <xf numFmtId="9" fontId="13" fillId="0" borderId="29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2" fontId="14" fillId="0" borderId="0" xfId="0" applyNumberFormat="1" applyFont="1" applyFill="1" applyAlignment="1">
      <alignment vertical="center"/>
    </xf>
    <xf numFmtId="0" fontId="19" fillId="0" borderId="28" xfId="0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vertical="center"/>
    </xf>
    <xf numFmtId="0" fontId="13" fillId="0" borderId="29" xfId="0" applyFont="1" applyFill="1" applyBorder="1" applyAlignment="1">
      <alignment horizontal="centerContinuous" vertical="center"/>
    </xf>
    <xf numFmtId="0" fontId="19" fillId="0" borderId="23" xfId="0" applyFont="1" applyFill="1" applyBorder="1" applyAlignment="1">
      <alignment horizontal="center" vertical="center"/>
    </xf>
    <xf numFmtId="0" fontId="19" fillId="0" borderId="24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vertical="center"/>
    </xf>
    <xf numFmtId="0" fontId="13" fillId="0" borderId="24" xfId="0" applyFont="1" applyFill="1" applyBorder="1" applyAlignment="1">
      <alignment horizontal="centerContinuous" vertical="center"/>
    </xf>
    <xf numFmtId="4" fontId="13" fillId="0" borderId="12" xfId="0" applyNumberFormat="1" applyFont="1" applyFill="1" applyBorder="1" applyAlignment="1">
      <alignment horizontal="center" vertical="center"/>
    </xf>
    <xf numFmtId="2" fontId="14" fillId="0" borderId="12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/>
    </xf>
    <xf numFmtId="2" fontId="13" fillId="0" borderId="24" xfId="0" applyNumberFormat="1" applyFont="1" applyFill="1" applyBorder="1" applyAlignment="1">
      <alignment horizontal="center" vertical="center"/>
    </xf>
    <xf numFmtId="2" fontId="13" fillId="0" borderId="9" xfId="0" applyNumberFormat="1" applyFont="1" applyFill="1" applyBorder="1" applyAlignment="1">
      <alignment horizontal="center" vertical="center"/>
    </xf>
    <xf numFmtId="168" fontId="14" fillId="0" borderId="13" xfId="0" applyNumberFormat="1" applyFont="1" applyFill="1" applyBorder="1" applyAlignment="1">
      <alignment horizontal="right" vertical="center"/>
    </xf>
    <xf numFmtId="0" fontId="19" fillId="0" borderId="29" xfId="0" applyFont="1" applyFill="1" applyBorder="1" applyAlignment="1">
      <alignment vertical="center"/>
    </xf>
    <xf numFmtId="0" fontId="19" fillId="0" borderId="24" xfId="0" applyFont="1" applyFill="1" applyBorder="1" applyAlignment="1">
      <alignment vertical="center"/>
    </xf>
    <xf numFmtId="0" fontId="14" fillId="0" borderId="21" xfId="0" quotePrefix="1" applyFont="1" applyFill="1" applyBorder="1" applyAlignment="1">
      <alignment horizontal="left" vertical="center"/>
    </xf>
    <xf numFmtId="164" fontId="13" fillId="0" borderId="0" xfId="14" applyFont="1" applyFill="1" applyBorder="1" applyAlignment="1">
      <alignment horizontal="center" vertical="center"/>
    </xf>
    <xf numFmtId="2" fontId="14" fillId="0" borderId="2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4" fontId="14" fillId="0" borderId="21" xfId="0" applyNumberFormat="1" applyFont="1" applyFill="1" applyBorder="1" applyAlignment="1">
      <alignment horizontal="left" vertical="center"/>
    </xf>
    <xf numFmtId="4" fontId="14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right"/>
    </xf>
    <xf numFmtId="0" fontId="14" fillId="0" borderId="21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justify" vertical="justify" wrapText="1"/>
    </xf>
    <xf numFmtId="0" fontId="14" fillId="0" borderId="0" xfId="0" applyFont="1" applyFill="1" applyBorder="1"/>
    <xf numFmtId="2" fontId="14" fillId="0" borderId="0" xfId="0" applyNumberFormat="1" applyFont="1" applyFill="1" applyBorder="1"/>
    <xf numFmtId="4" fontId="14" fillId="0" borderId="0" xfId="0" applyNumberFormat="1" applyFont="1" applyFill="1" applyBorder="1"/>
    <xf numFmtId="4" fontId="14" fillId="0" borderId="2" xfId="0" applyNumberFormat="1" applyFont="1" applyFill="1" applyBorder="1" applyAlignment="1">
      <alignment horizontal="center"/>
    </xf>
    <xf numFmtId="10" fontId="14" fillId="0" borderId="2" xfId="12" applyNumberFormat="1" applyFont="1" applyFill="1" applyBorder="1" applyAlignment="1">
      <alignment horizontal="center"/>
    </xf>
    <xf numFmtId="4" fontId="14" fillId="0" borderId="13" xfId="0" applyNumberFormat="1" applyFont="1" applyFill="1" applyBorder="1" applyAlignment="1">
      <alignment horizontal="center"/>
    </xf>
    <xf numFmtId="0" fontId="13" fillId="0" borderId="21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164" fontId="14" fillId="0" borderId="0" xfId="0" applyNumberFormat="1" applyFont="1" applyFill="1" applyBorder="1"/>
    <xf numFmtId="0" fontId="14" fillId="0" borderId="21" xfId="0" applyFont="1" applyFill="1" applyBorder="1"/>
    <xf numFmtId="2" fontId="13" fillId="0" borderId="0" xfId="0" applyNumberFormat="1" applyFont="1" applyFill="1" applyBorder="1" applyAlignment="1">
      <alignment horizontal="centerContinuous" wrapText="1"/>
    </xf>
    <xf numFmtId="0" fontId="13" fillId="0" borderId="21" xfId="0" applyFont="1" applyFill="1" applyBorder="1"/>
    <xf numFmtId="0" fontId="14" fillId="0" borderId="0" xfId="0" applyFont="1" applyFill="1" applyBorder="1" applyAlignment="1">
      <alignment wrapText="1"/>
    </xf>
    <xf numFmtId="168" fontId="14" fillId="0" borderId="2" xfId="0" applyNumberFormat="1" applyFont="1" applyFill="1" applyBorder="1" applyAlignment="1">
      <alignment horizontal="right"/>
    </xf>
    <xf numFmtId="0" fontId="14" fillId="0" borderId="21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4" fillId="0" borderId="28" xfId="0" applyFont="1" applyFill="1" applyBorder="1" applyAlignment="1">
      <alignment vertical="top"/>
    </xf>
    <xf numFmtId="0" fontId="14" fillId="0" borderId="29" xfId="0" applyFont="1" applyFill="1" applyBorder="1" applyAlignment="1">
      <alignment vertical="top" wrapText="1"/>
    </xf>
    <xf numFmtId="0" fontId="14" fillId="0" borderId="29" xfId="0" applyFont="1" applyFill="1" applyBorder="1" applyAlignment="1">
      <alignment horizontal="center"/>
    </xf>
    <xf numFmtId="0" fontId="14" fillId="0" borderId="23" xfId="0" applyFont="1" applyFill="1" applyBorder="1"/>
    <xf numFmtId="0" fontId="14" fillId="0" borderId="24" xfId="0" applyFont="1" applyFill="1" applyBorder="1"/>
    <xf numFmtId="0" fontId="14" fillId="0" borderId="31" xfId="0" applyFont="1" applyFill="1" applyBorder="1"/>
    <xf numFmtId="0" fontId="14" fillId="0" borderId="32" xfId="0" applyFont="1" applyFill="1" applyBorder="1"/>
    <xf numFmtId="0" fontId="19" fillId="0" borderId="34" xfId="0" applyFont="1" applyFill="1" applyBorder="1" applyAlignment="1">
      <alignment vertical="center"/>
    </xf>
    <xf numFmtId="0" fontId="13" fillId="0" borderId="35" xfId="0" applyFont="1" applyFill="1" applyBorder="1" applyAlignment="1">
      <alignment horizontal="left"/>
    </xf>
    <xf numFmtId="10" fontId="13" fillId="0" borderId="32" xfId="12" applyNumberFormat="1" applyFont="1" applyFill="1" applyBorder="1" applyAlignment="1">
      <alignment horizontal="center"/>
    </xf>
    <xf numFmtId="2" fontId="14" fillId="0" borderId="22" xfId="0" applyNumberFormat="1" applyFont="1" applyFill="1" applyBorder="1" applyAlignment="1">
      <alignment horizontal="centerContinuous" vertical="center"/>
    </xf>
    <xf numFmtId="4" fontId="14" fillId="0" borderId="22" xfId="0" applyNumberFormat="1" applyFont="1" applyFill="1" applyBorder="1" applyAlignment="1">
      <alignment horizontal="right" vertical="center"/>
    </xf>
    <xf numFmtId="170" fontId="14" fillId="0" borderId="22" xfId="0" applyNumberFormat="1" applyFont="1" applyFill="1" applyBorder="1" applyAlignment="1">
      <alignment horizontal="right" vertical="center"/>
    </xf>
    <xf numFmtId="0" fontId="20" fillId="0" borderId="0" xfId="11" applyFont="1" applyFill="1" applyBorder="1" applyAlignment="1">
      <alignment horizontal="center" vertical="center"/>
    </xf>
    <xf numFmtId="0" fontId="20" fillId="0" borderId="0" xfId="11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10" applyFont="1"/>
    <xf numFmtId="0" fontId="21" fillId="0" borderId="0" xfId="10" applyFont="1" applyAlignment="1">
      <alignment horizontal="center"/>
    </xf>
    <xf numFmtId="0" fontId="21" fillId="0" borderId="0" xfId="10" applyFont="1" applyBorder="1" applyAlignment="1">
      <alignment horizontal="center"/>
    </xf>
    <xf numFmtId="0" fontId="21" fillId="0" borderId="0" xfId="10" applyFont="1" applyBorder="1"/>
    <xf numFmtId="49" fontId="13" fillId="0" borderId="0" xfId="0" applyNumberFormat="1" applyFont="1" applyFill="1" applyAlignment="1">
      <alignment horizontal="left" vertical="center" indent="1"/>
    </xf>
    <xf numFmtId="49" fontId="20" fillId="0" borderId="0" xfId="0" applyNumberFormat="1" applyFont="1" applyFill="1" applyAlignment="1">
      <alignment horizontal="left" vertical="center" indent="1"/>
    </xf>
    <xf numFmtId="49" fontId="22" fillId="0" borderId="0" xfId="0" applyNumberFormat="1" applyFont="1" applyFill="1" applyAlignment="1">
      <alignment horizontal="left" vertical="center" indent="1"/>
    </xf>
    <xf numFmtId="0" fontId="23" fillId="0" borderId="0" xfId="10" applyFont="1" applyBorder="1"/>
    <xf numFmtId="0" fontId="23" fillId="0" borderId="0" xfId="10" applyFont="1" applyBorder="1" applyAlignment="1">
      <alignment horizontal="center"/>
    </xf>
    <xf numFmtId="0" fontId="23" fillId="0" borderId="0" xfId="0" applyFont="1" applyFill="1" applyAlignment="1">
      <alignment vertical="center"/>
    </xf>
    <xf numFmtId="0" fontId="20" fillId="0" borderId="0" xfId="11" applyFont="1" applyFill="1" applyAlignment="1">
      <alignment horizontal="center" vertical="center"/>
    </xf>
    <xf numFmtId="0" fontId="21" fillId="0" borderId="0" xfId="11" applyFont="1" applyFill="1"/>
    <xf numFmtId="0" fontId="21" fillId="0" borderId="0" xfId="11" applyFont="1" applyFill="1" applyAlignment="1">
      <alignment vertical="center"/>
    </xf>
    <xf numFmtId="0" fontId="20" fillId="0" borderId="0" xfId="11" applyFont="1" applyFill="1" applyBorder="1" applyAlignment="1">
      <alignment horizontal="left" vertical="center" indent="1"/>
    </xf>
    <xf numFmtId="0" fontId="20" fillId="0" borderId="0" xfId="11" applyFont="1" applyFill="1" applyAlignment="1">
      <alignment horizontal="center"/>
    </xf>
    <xf numFmtId="0" fontId="21" fillId="0" borderId="0" xfId="11" applyFont="1" applyFill="1" applyBorder="1" applyAlignment="1">
      <alignment horizontal="center"/>
    </xf>
    <xf numFmtId="4" fontId="13" fillId="0" borderId="29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" fontId="14" fillId="0" borderId="2" xfId="0" applyNumberFormat="1" applyFont="1" applyFill="1" applyBorder="1" applyAlignment="1">
      <alignment horizontal="right"/>
    </xf>
    <xf numFmtId="4" fontId="13" fillId="0" borderId="24" xfId="0" applyNumberFormat="1" applyFont="1" applyFill="1" applyBorder="1" applyAlignment="1">
      <alignment horizontal="center" vertical="center"/>
    </xf>
    <xf numFmtId="4" fontId="18" fillId="0" borderId="0" xfId="11" applyNumberFormat="1" applyFont="1" applyFill="1" applyAlignment="1">
      <alignment horizontal="centerContinuous" vertical="center"/>
    </xf>
    <xf numFmtId="4" fontId="13" fillId="0" borderId="5" xfId="0" applyNumberFormat="1" applyFont="1" applyFill="1" applyBorder="1" applyAlignment="1">
      <alignment horizontal="center" vertical="center"/>
    </xf>
    <xf numFmtId="4" fontId="14" fillId="0" borderId="19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right" vertical="center"/>
    </xf>
    <xf numFmtId="4" fontId="14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Border="1" applyAlignment="1">
      <alignment horizontal="centerContinuous" vertical="center" wrapText="1"/>
    </xf>
    <xf numFmtId="4" fontId="13" fillId="0" borderId="2" xfId="0" applyNumberFormat="1" applyFont="1" applyFill="1" applyBorder="1" applyAlignment="1">
      <alignment horizontal="centerContinuous" vertical="center" wrapText="1"/>
    </xf>
    <xf numFmtId="4" fontId="13" fillId="0" borderId="11" xfId="11" applyNumberFormat="1" applyFont="1" applyFill="1" applyBorder="1" applyAlignment="1">
      <alignment vertical="center"/>
    </xf>
    <xf numFmtId="4" fontId="13" fillId="0" borderId="11" xfId="0" applyNumberFormat="1" applyFont="1" applyFill="1" applyBorder="1" applyAlignment="1">
      <alignment horizontal="left" vertical="center"/>
    </xf>
    <xf numFmtId="4" fontId="13" fillId="0" borderId="25" xfId="0" applyNumberFormat="1" applyFont="1" applyFill="1" applyBorder="1" applyAlignment="1">
      <alignment horizontal="left" vertical="center"/>
    </xf>
    <xf numFmtId="4" fontId="14" fillId="0" borderId="0" xfId="0" applyNumberFormat="1" applyFont="1" applyFill="1" applyAlignment="1">
      <alignment vertical="center"/>
    </xf>
    <xf numFmtId="4" fontId="14" fillId="0" borderId="18" xfId="0" applyNumberFormat="1" applyFont="1" applyFill="1" applyBorder="1" applyAlignment="1">
      <alignment horizontal="center" vertical="center"/>
    </xf>
    <xf numFmtId="4" fontId="14" fillId="0" borderId="24" xfId="0" applyNumberFormat="1" applyFont="1" applyFill="1" applyBorder="1" applyAlignment="1">
      <alignment vertical="center"/>
    </xf>
    <xf numFmtId="4" fontId="14" fillId="0" borderId="29" xfId="0" applyNumberFormat="1" applyFont="1" applyFill="1" applyBorder="1" applyAlignment="1">
      <alignment vertical="center"/>
    </xf>
    <xf numFmtId="4" fontId="14" fillId="0" borderId="32" xfId="0" applyNumberFormat="1" applyFont="1" applyFill="1" applyBorder="1" applyAlignment="1">
      <alignment vertical="center"/>
    </xf>
    <xf numFmtId="4" fontId="13" fillId="0" borderId="33" xfId="11" applyNumberFormat="1" applyFont="1" applyFill="1" applyBorder="1" applyAlignment="1">
      <alignment vertical="center"/>
    </xf>
    <xf numFmtId="4" fontId="13" fillId="0" borderId="33" xfId="0" applyNumberFormat="1" applyFont="1" applyFill="1" applyBorder="1" applyAlignment="1">
      <alignment vertical="center"/>
    </xf>
    <xf numFmtId="4" fontId="13" fillId="0" borderId="37" xfId="0" applyNumberFormat="1" applyFont="1" applyFill="1" applyBorder="1" applyAlignment="1">
      <alignment vertical="center"/>
    </xf>
    <xf numFmtId="4" fontId="19" fillId="0" borderId="33" xfId="0" applyNumberFormat="1" applyFont="1" applyFill="1" applyBorder="1" applyAlignment="1">
      <alignment vertical="center"/>
    </xf>
    <xf numFmtId="4" fontId="19" fillId="0" borderId="37" xfId="0" applyNumberFormat="1" applyFont="1" applyFill="1" applyBorder="1" applyAlignment="1">
      <alignment vertical="center"/>
    </xf>
    <xf numFmtId="4" fontId="13" fillId="0" borderId="0" xfId="0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vertical="center"/>
    </xf>
    <xf numFmtId="4" fontId="14" fillId="0" borderId="0" xfId="0" applyNumberFormat="1" applyFont="1" applyFill="1" applyBorder="1" applyAlignment="1">
      <alignment horizontal="right"/>
    </xf>
    <xf numFmtId="4" fontId="14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Border="1" applyAlignment="1">
      <alignment horizontal="centerContinuous" wrapText="1"/>
    </xf>
    <xf numFmtId="4" fontId="14" fillId="0" borderId="2" xfId="0" applyNumberFormat="1" applyFont="1" applyFill="1" applyBorder="1" applyAlignment="1">
      <alignment horizontal="centerContinuous" vertical="center" wrapText="1"/>
    </xf>
    <xf numFmtId="4" fontId="13" fillId="0" borderId="29" xfId="0" applyNumberFormat="1" applyFont="1" applyFill="1" applyBorder="1" applyAlignment="1">
      <alignment horizontal="center" vertical="center" wrapText="1"/>
    </xf>
    <xf numFmtId="4" fontId="14" fillId="0" borderId="24" xfId="0" applyNumberFormat="1" applyFont="1" applyFill="1" applyBorder="1"/>
    <xf numFmtId="4" fontId="14" fillId="0" borderId="32" xfId="0" applyNumberFormat="1" applyFont="1" applyFill="1" applyBorder="1"/>
    <xf numFmtId="4" fontId="21" fillId="0" borderId="0" xfId="10" applyNumberFormat="1" applyFont="1"/>
    <xf numFmtId="4" fontId="23" fillId="0" borderId="0" xfId="10" applyNumberFormat="1" applyFont="1" applyBorder="1"/>
    <xf numFmtId="4" fontId="20" fillId="0" borderId="0" xfId="11" applyNumberFormat="1" applyFont="1" applyFill="1" applyBorder="1" applyAlignment="1">
      <alignment vertical="center"/>
    </xf>
    <xf numFmtId="4" fontId="21" fillId="0" borderId="0" xfId="11" applyNumberFormat="1" applyFont="1" applyFill="1" applyBorder="1" applyAlignment="1">
      <alignment horizontal="center"/>
    </xf>
    <xf numFmtId="4" fontId="21" fillId="0" borderId="0" xfId="10" applyNumberFormat="1" applyFont="1" applyBorder="1"/>
    <xf numFmtId="38" fontId="24" fillId="0" borderId="0" xfId="0" applyNumberFormat="1" applyFont="1" applyAlignment="1">
      <alignment vertical="center"/>
    </xf>
    <xf numFmtId="40" fontId="24" fillId="0" borderId="0" xfId="0" applyNumberFormat="1" applyFont="1" applyAlignment="1">
      <alignment vertical="center"/>
    </xf>
    <xf numFmtId="49" fontId="27" fillId="0" borderId="2" xfId="0" applyNumberFormat="1" applyFont="1" applyFill="1" applyBorder="1" applyAlignment="1">
      <alignment horizontal="center" vertical="center"/>
    </xf>
    <xf numFmtId="49" fontId="27" fillId="0" borderId="0" xfId="0" applyNumberFormat="1" applyFont="1" applyFill="1" applyBorder="1" applyAlignment="1">
      <alignment horizontal="center" vertical="center"/>
    </xf>
    <xf numFmtId="38" fontId="27" fillId="0" borderId="0" xfId="0" applyNumberFormat="1" applyFont="1" applyFill="1" applyAlignment="1">
      <alignment vertical="center"/>
    </xf>
    <xf numFmtId="49" fontId="27" fillId="0" borderId="0" xfId="0" applyNumberFormat="1" applyFont="1" applyFill="1" applyAlignment="1">
      <alignment horizontal="center" vertical="center"/>
    </xf>
    <xf numFmtId="49" fontId="28" fillId="0" borderId="0" xfId="0" applyNumberFormat="1" applyFont="1" applyFill="1" applyAlignment="1">
      <alignment horizontal="center" vertical="center"/>
    </xf>
    <xf numFmtId="49" fontId="28" fillId="0" borderId="2" xfId="0" applyNumberFormat="1" applyFont="1" applyFill="1" applyBorder="1" applyAlignment="1">
      <alignment horizontal="center" vertical="center"/>
    </xf>
    <xf numFmtId="49" fontId="28" fillId="0" borderId="0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14" fillId="0" borderId="2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49" fontId="13" fillId="0" borderId="2" xfId="0" applyNumberFormat="1" applyFont="1" applyFill="1" applyBorder="1" applyAlignment="1">
      <alignment horizontal="left" vertical="center" indent="1"/>
    </xf>
    <xf numFmtId="164" fontId="14" fillId="0" borderId="45" xfId="0" applyNumberFormat="1" applyFont="1" applyFill="1" applyBorder="1" applyAlignment="1">
      <alignment horizontal="left" vertical="center"/>
    </xf>
    <xf numFmtId="164" fontId="14" fillId="0" borderId="2" xfId="0" applyNumberFormat="1" applyFont="1" applyFill="1" applyBorder="1" applyAlignment="1">
      <alignment horizontal="centerContinuous" vertical="center"/>
    </xf>
    <xf numFmtId="164" fontId="14" fillId="0" borderId="2" xfId="0" applyNumberFormat="1" applyFont="1" applyFill="1" applyBorder="1" applyAlignment="1">
      <alignment horizontal="center" vertical="center"/>
    </xf>
    <xf numFmtId="164" fontId="14" fillId="0" borderId="20" xfId="0" applyNumberFormat="1" applyFont="1" applyFill="1" applyBorder="1" applyAlignment="1">
      <alignment horizontal="left" vertical="center"/>
    </xf>
    <xf numFmtId="164" fontId="14" fillId="0" borderId="12" xfId="0" applyNumberFormat="1" applyFont="1" applyFill="1" applyBorder="1" applyAlignment="1">
      <alignment horizontal="left" vertical="center"/>
    </xf>
    <xf numFmtId="164" fontId="14" fillId="0" borderId="13" xfId="0" applyNumberFormat="1" applyFont="1" applyFill="1" applyBorder="1" applyAlignment="1">
      <alignment horizontal="left" vertical="center"/>
    </xf>
    <xf numFmtId="164" fontId="14" fillId="0" borderId="2" xfId="0" applyNumberFormat="1" applyFont="1" applyFill="1" applyBorder="1" applyAlignment="1">
      <alignment horizontal="right" vertical="center"/>
    </xf>
    <xf numFmtId="164" fontId="14" fillId="0" borderId="45" xfId="0" applyNumberFormat="1" applyFont="1" applyFill="1" applyBorder="1" applyAlignment="1">
      <alignment horizontal="left" vertical="center" wrapText="1"/>
    </xf>
    <xf numFmtId="4" fontId="14" fillId="0" borderId="14" xfId="0" applyNumberFormat="1" applyFont="1" applyFill="1" applyBorder="1" applyAlignment="1">
      <alignment horizontal="right" vertical="center"/>
    </xf>
    <xf numFmtId="4" fontId="13" fillId="0" borderId="40" xfId="14" applyNumberFormat="1" applyFont="1" applyFill="1" applyBorder="1" applyAlignment="1">
      <alignment horizontal="right" vertical="center"/>
    </xf>
    <xf numFmtId="4" fontId="14" fillId="0" borderId="41" xfId="14" applyNumberFormat="1" applyFont="1" applyFill="1" applyBorder="1" applyAlignment="1">
      <alignment horizontal="center" vertical="center"/>
    </xf>
    <xf numFmtId="4" fontId="13" fillId="0" borderId="14" xfId="14" applyNumberFormat="1" applyFont="1" applyFill="1" applyBorder="1" applyAlignment="1">
      <alignment horizontal="center" vertical="center"/>
    </xf>
    <xf numFmtId="4" fontId="14" fillId="0" borderId="46" xfId="14" applyNumberFormat="1" applyFont="1" applyFill="1" applyBorder="1" applyAlignment="1">
      <alignment horizontal="right" vertical="center"/>
    </xf>
    <xf numFmtId="4" fontId="14" fillId="0" borderId="42" xfId="14" applyNumberFormat="1" applyFont="1" applyFill="1" applyBorder="1" applyAlignment="1">
      <alignment horizontal="right" vertical="center"/>
    </xf>
    <xf numFmtId="4" fontId="13" fillId="0" borderId="14" xfId="14" applyNumberFormat="1" applyFont="1" applyFill="1" applyBorder="1" applyAlignment="1">
      <alignment horizontal="right" vertical="center"/>
    </xf>
    <xf numFmtId="4" fontId="13" fillId="0" borderId="14" xfId="12" applyNumberFormat="1" applyFont="1" applyFill="1" applyBorder="1" applyAlignment="1">
      <alignment horizontal="right" vertical="center"/>
    </xf>
    <xf numFmtId="4" fontId="14" fillId="0" borderId="41" xfId="0" applyNumberFormat="1" applyFont="1" applyFill="1" applyBorder="1" applyAlignment="1">
      <alignment vertical="center"/>
    </xf>
    <xf numFmtId="4" fontId="14" fillId="0" borderId="46" xfId="0" applyNumberFormat="1" applyFont="1" applyFill="1" applyBorder="1" applyAlignment="1">
      <alignment horizontal="right" vertical="center"/>
    </xf>
    <xf numFmtId="4" fontId="13" fillId="0" borderId="14" xfId="0" applyNumberFormat="1" applyFont="1" applyFill="1" applyBorder="1" applyAlignment="1">
      <alignment vertical="center"/>
    </xf>
    <xf numFmtId="4" fontId="13" fillId="0" borderId="26" xfId="0" applyNumberFormat="1" applyFont="1" applyFill="1" applyBorder="1" applyAlignment="1">
      <alignment horizontal="left" vertical="center"/>
    </xf>
    <xf numFmtId="4" fontId="13" fillId="0" borderId="47" xfId="0" applyNumberFormat="1" applyFont="1" applyFill="1" applyBorder="1" applyAlignment="1">
      <alignment vertical="center"/>
    </xf>
    <xf numFmtId="4" fontId="13" fillId="0" borderId="41" xfId="14" applyNumberFormat="1" applyFont="1" applyFill="1" applyBorder="1" applyAlignment="1">
      <alignment horizontal="right" vertical="center"/>
    </xf>
    <xf numFmtId="4" fontId="21" fillId="0" borderId="7" xfId="11" applyNumberFormat="1" applyFont="1" applyFill="1" applyBorder="1" applyAlignment="1">
      <alignment horizontal="right" vertical="center"/>
    </xf>
    <xf numFmtId="4" fontId="13" fillId="0" borderId="29" xfId="0" applyNumberFormat="1" applyFont="1" applyFill="1" applyBorder="1" applyAlignment="1">
      <alignment horizontal="left" vertical="center"/>
    </xf>
    <xf numFmtId="4" fontId="13" fillId="0" borderId="38" xfId="0" applyNumberFormat="1" applyFont="1" applyFill="1" applyBorder="1" applyAlignment="1">
      <alignment vertical="center"/>
    </xf>
    <xf numFmtId="4" fontId="13" fillId="0" borderId="24" xfId="0" applyNumberFormat="1" applyFont="1" applyFill="1" applyBorder="1" applyAlignment="1">
      <alignment horizontal="left" vertical="center"/>
    </xf>
    <xf numFmtId="4" fontId="13" fillId="0" borderId="48" xfId="0" applyNumberFormat="1" applyFont="1" applyFill="1" applyBorder="1" applyAlignment="1">
      <alignment vertical="center"/>
    </xf>
    <xf numFmtId="4" fontId="13" fillId="0" borderId="40" xfId="14" applyNumberFormat="1" applyFont="1" applyFill="1" applyBorder="1" applyAlignment="1">
      <alignment horizontal="center" vertical="center"/>
    </xf>
    <xf numFmtId="4" fontId="13" fillId="0" borderId="12" xfId="0" applyNumberFormat="1" applyFont="1" applyFill="1" applyBorder="1" applyAlignment="1">
      <alignment horizontal="left" vertical="center"/>
    </xf>
    <xf numFmtId="4" fontId="13" fillId="0" borderId="6" xfId="0" applyNumberFormat="1" applyFont="1" applyFill="1" applyBorder="1" applyAlignment="1">
      <alignment horizontal="left" vertical="center"/>
    </xf>
    <xf numFmtId="4" fontId="13" fillId="0" borderId="43" xfId="0" applyNumberFormat="1" applyFont="1" applyFill="1" applyBorder="1" applyAlignment="1">
      <alignment vertical="center"/>
    </xf>
    <xf numFmtId="4" fontId="13" fillId="0" borderId="44" xfId="14" applyNumberFormat="1" applyFont="1" applyFill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center" vertical="center"/>
    </xf>
    <xf numFmtId="4" fontId="13" fillId="0" borderId="38" xfId="14" applyNumberFormat="1" applyFont="1" applyFill="1" applyBorder="1" applyAlignment="1">
      <alignment horizontal="right" vertical="center"/>
    </xf>
    <xf numFmtId="4" fontId="13" fillId="0" borderId="48" xfId="14" applyNumberFormat="1" applyFont="1" applyFill="1" applyBorder="1" applyAlignment="1">
      <alignment horizontal="right" vertical="center"/>
    </xf>
    <xf numFmtId="4" fontId="13" fillId="0" borderId="12" xfId="12" applyNumberFormat="1" applyFont="1" applyFill="1" applyBorder="1" applyAlignment="1">
      <alignment horizontal="left" vertical="center"/>
    </xf>
    <xf numFmtId="4" fontId="13" fillId="0" borderId="49" xfId="14" applyNumberFormat="1" applyFont="1" applyFill="1" applyBorder="1" applyAlignment="1">
      <alignment horizontal="center" vertical="center"/>
    </xf>
    <xf numFmtId="4" fontId="13" fillId="0" borderId="40" xfId="14" applyNumberFormat="1" applyFont="1" applyFill="1" applyBorder="1" applyAlignment="1">
      <alignment vertical="center"/>
    </xf>
    <xf numFmtId="4" fontId="13" fillId="0" borderId="50" xfId="12" applyNumberFormat="1" applyFont="1" applyFill="1" applyBorder="1" applyAlignment="1">
      <alignment horizontal="right" vertical="center"/>
    </xf>
    <xf numFmtId="4" fontId="14" fillId="0" borderId="41" xfId="14" applyNumberFormat="1" applyFont="1" applyFill="1" applyBorder="1" applyAlignment="1">
      <alignment horizontal="center"/>
    </xf>
    <xf numFmtId="4" fontId="14" fillId="0" borderId="46" xfId="14" applyNumberFormat="1" applyFont="1" applyFill="1" applyBorder="1" applyAlignment="1">
      <alignment horizontal="right"/>
    </xf>
    <xf numFmtId="4" fontId="13" fillId="0" borderId="40" xfId="14" applyNumberFormat="1" applyFont="1" applyFill="1" applyBorder="1" applyAlignment="1">
      <alignment horizontal="right"/>
    </xf>
    <xf numFmtId="4" fontId="13" fillId="0" borderId="14" xfId="14" applyNumberFormat="1" applyFont="1" applyFill="1" applyBorder="1" applyAlignment="1">
      <alignment horizontal="right"/>
    </xf>
    <xf numFmtId="4" fontId="13" fillId="0" borderId="50" xfId="12" applyNumberFormat="1" applyFont="1" applyFill="1" applyBorder="1" applyAlignment="1">
      <alignment horizontal="right"/>
    </xf>
    <xf numFmtId="4" fontId="14" fillId="0" borderId="41" xfId="0" applyNumberFormat="1" applyFont="1" applyFill="1" applyBorder="1"/>
    <xf numFmtId="4" fontId="13" fillId="0" borderId="29" xfId="11" applyNumberFormat="1" applyFont="1" applyFill="1" applyBorder="1" applyAlignment="1">
      <alignment vertical="center"/>
    </xf>
    <xf numFmtId="4" fontId="13" fillId="0" borderId="38" xfId="0" applyNumberFormat="1" applyFont="1" applyFill="1" applyBorder="1"/>
    <xf numFmtId="4" fontId="13" fillId="0" borderId="48" xfId="0" applyNumberFormat="1" applyFont="1" applyFill="1" applyBorder="1"/>
    <xf numFmtId="4" fontId="13" fillId="0" borderId="32" xfId="0" applyNumberFormat="1" applyFont="1" applyFill="1" applyBorder="1" applyAlignment="1">
      <alignment horizontal="left"/>
    </xf>
    <xf numFmtId="4" fontId="13" fillId="0" borderId="51" xfId="0" applyNumberFormat="1" applyFont="1" applyFill="1" applyBorder="1"/>
    <xf numFmtId="4" fontId="13" fillId="0" borderId="0" xfId="14" applyNumberFormat="1" applyFont="1" applyFill="1" applyBorder="1" applyAlignment="1">
      <alignment horizontal="right" vertical="center"/>
    </xf>
    <xf numFmtId="4" fontId="13" fillId="0" borderId="24" xfId="14" applyNumberFormat="1" applyFont="1" applyFill="1" applyBorder="1" applyAlignment="1">
      <alignment horizontal="right" vertical="center"/>
    </xf>
    <xf numFmtId="4" fontId="13" fillId="0" borderId="0" xfId="0" applyNumberFormat="1" applyFont="1" applyFill="1" applyBorder="1" applyAlignment="1">
      <alignment horizontal="left"/>
    </xf>
    <xf numFmtId="10" fontId="13" fillId="0" borderId="0" xfId="12" applyNumberFormat="1" applyFont="1" applyFill="1" applyBorder="1" applyAlignment="1">
      <alignment horizontal="center"/>
    </xf>
    <xf numFmtId="4" fontId="13" fillId="0" borderId="0" xfId="0" applyNumberFormat="1" applyFont="1" applyFill="1" applyBorder="1"/>
    <xf numFmtId="164" fontId="14" fillId="0" borderId="46" xfId="14" applyNumberFormat="1" applyFont="1" applyFill="1" applyBorder="1" applyAlignment="1">
      <alignment horizontal="right"/>
    </xf>
    <xf numFmtId="164" fontId="14" fillId="0" borderId="46" xfId="0" applyNumberFormat="1" applyFont="1" applyFill="1" applyBorder="1" applyAlignment="1">
      <alignment horizontal="right" vertical="center"/>
    </xf>
    <xf numFmtId="164" fontId="14" fillId="0" borderId="19" xfId="0" applyNumberFormat="1" applyFont="1" applyFill="1" applyBorder="1" applyAlignment="1">
      <alignment horizontal="center" vertical="center"/>
    </xf>
    <xf numFmtId="164" fontId="14" fillId="0" borderId="14" xfId="0" applyNumberFormat="1" applyFont="1" applyFill="1" applyBorder="1" applyAlignment="1">
      <alignment horizontal="right" vertical="center"/>
    </xf>
    <xf numFmtId="164" fontId="14" fillId="0" borderId="13" xfId="0" applyNumberFormat="1" applyFont="1" applyFill="1" applyBorder="1" applyAlignment="1">
      <alignment horizontal="center"/>
    </xf>
    <xf numFmtId="168" fontId="14" fillId="0" borderId="2" xfId="0" applyNumberFormat="1" applyFont="1" applyFill="1" applyBorder="1" applyAlignment="1">
      <alignment horizontal="center"/>
    </xf>
    <xf numFmtId="49" fontId="31" fillId="0" borderId="2" xfId="6" applyNumberFormat="1" applyFont="1" applyFill="1" applyBorder="1" applyAlignment="1" applyProtection="1">
      <alignment horizontal="center" vertical="center"/>
    </xf>
    <xf numFmtId="164" fontId="14" fillId="0" borderId="2" xfId="0" applyNumberFormat="1" applyFont="1" applyFill="1" applyBorder="1" applyAlignment="1">
      <alignment horizontal="right"/>
    </xf>
    <xf numFmtId="40" fontId="27" fillId="0" borderId="0" xfId="0" applyNumberFormat="1" applyFont="1" applyFill="1" applyAlignment="1">
      <alignment vertical="center"/>
    </xf>
    <xf numFmtId="0" fontId="3" fillId="0" borderId="0" xfId="0" applyFont="1" applyAlignment="1">
      <alignment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vertical="center"/>
    </xf>
    <xf numFmtId="4" fontId="11" fillId="3" borderId="5" xfId="0" applyNumberFormat="1" applyFont="1" applyFill="1" applyBorder="1" applyAlignment="1">
      <alignment vertical="center"/>
    </xf>
    <xf numFmtId="4" fontId="11" fillId="0" borderId="16" xfId="0" applyNumberFormat="1" applyFont="1" applyFill="1" applyBorder="1" applyAlignment="1">
      <alignment vertical="center"/>
    </xf>
    <xf numFmtId="4" fontId="11" fillId="0" borderId="30" xfId="0" applyNumberFormat="1" applyFont="1" applyFill="1" applyBorder="1" applyAlignment="1">
      <alignment vertical="center"/>
    </xf>
    <xf numFmtId="4" fontId="11" fillId="0" borderId="18" xfId="0" applyNumberFormat="1" applyFont="1" applyFill="1" applyBorder="1" applyAlignment="1">
      <alignment vertical="center"/>
    </xf>
    <xf numFmtId="4" fontId="11" fillId="0" borderId="19" xfId="0" applyNumberFormat="1" applyFont="1" applyBorder="1" applyAlignment="1">
      <alignment vertical="center"/>
    </xf>
    <xf numFmtId="4" fontId="11" fillId="3" borderId="2" xfId="0" applyNumberFormat="1" applyFont="1" applyFill="1" applyBorder="1" applyAlignment="1">
      <alignment vertical="center"/>
    </xf>
    <xf numFmtId="43" fontId="14" fillId="0" borderId="20" xfId="0" applyNumberFormat="1" applyFont="1" applyFill="1" applyBorder="1" applyAlignment="1">
      <alignment horizontal="left" vertical="center"/>
    </xf>
    <xf numFmtId="43" fontId="14" fillId="0" borderId="12" xfId="0" applyNumberFormat="1" applyFont="1" applyFill="1" applyBorder="1" applyAlignment="1">
      <alignment horizontal="left" vertical="center"/>
    </xf>
    <xf numFmtId="43" fontId="14" fillId="0" borderId="13" xfId="0" applyNumberFormat="1" applyFont="1" applyFill="1" applyBorder="1" applyAlignment="1">
      <alignment horizontal="left" vertical="center"/>
    </xf>
    <xf numFmtId="43" fontId="14" fillId="0" borderId="2" xfId="0" applyNumberFormat="1" applyFont="1" applyFill="1" applyBorder="1" applyAlignment="1">
      <alignment horizontal="centerContinuous" vertical="center"/>
    </xf>
    <xf numFmtId="43" fontId="14" fillId="0" borderId="2" xfId="0" applyNumberFormat="1" applyFont="1" applyFill="1" applyBorder="1" applyAlignment="1">
      <alignment horizontal="right" vertical="center"/>
    </xf>
    <xf numFmtId="43" fontId="14" fillId="0" borderId="46" xfId="14" applyNumberFormat="1" applyFont="1" applyFill="1" applyBorder="1" applyAlignment="1">
      <alignment horizontal="right" vertical="center"/>
    </xf>
    <xf numFmtId="43" fontId="14" fillId="0" borderId="45" xfId="0" applyNumberFormat="1" applyFont="1" applyFill="1" applyBorder="1" applyAlignment="1">
      <alignment horizontal="left" vertical="center"/>
    </xf>
    <xf numFmtId="0" fontId="13" fillId="0" borderId="1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0" fillId="0" borderId="0" xfId="0" applyAlignment="1">
      <alignment vertical="center"/>
    </xf>
    <xf numFmtId="4" fontId="11" fillId="0" borderId="0" xfId="0" applyNumberFormat="1" applyFont="1" applyAlignment="1">
      <alignment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17" fontId="11" fillId="0" borderId="7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0" fontId="20" fillId="0" borderId="12" xfId="11" applyNumberFormat="1" applyFont="1" applyFill="1" applyBorder="1" applyAlignment="1">
      <alignment horizontal="center" vertical="center"/>
    </xf>
    <xf numFmtId="10" fontId="13" fillId="0" borderId="29" xfId="0" applyNumberFormat="1" applyFont="1" applyFill="1" applyBorder="1" applyAlignment="1">
      <alignment horizontal="center" vertical="center"/>
    </xf>
    <xf numFmtId="10" fontId="14" fillId="0" borderId="0" xfId="0" applyNumberFormat="1" applyFont="1" applyFill="1" applyBorder="1" applyAlignment="1">
      <alignment vertical="center"/>
    </xf>
    <xf numFmtId="10" fontId="13" fillId="0" borderId="37" xfId="0" applyNumberFormat="1" applyFont="1" applyFill="1" applyBorder="1" applyAlignment="1">
      <alignment vertical="center"/>
    </xf>
    <xf numFmtId="10" fontId="13" fillId="0" borderId="24" xfId="0" applyNumberFormat="1" applyFont="1" applyFill="1" applyBorder="1" applyAlignment="1">
      <alignment vertical="center"/>
    </xf>
    <xf numFmtId="10" fontId="13" fillId="0" borderId="24" xfId="0" applyNumberFormat="1" applyFont="1" applyFill="1" applyBorder="1" applyAlignment="1">
      <alignment horizontal="center" vertical="center"/>
    </xf>
    <xf numFmtId="10" fontId="21" fillId="0" borderId="7" xfId="11" applyNumberFormat="1" applyFont="1" applyFill="1" applyBorder="1" applyAlignment="1">
      <alignment horizontal="right" vertical="center"/>
    </xf>
    <xf numFmtId="10" fontId="13" fillId="0" borderId="12" xfId="12" applyNumberFormat="1" applyFont="1" applyFill="1" applyBorder="1" applyAlignment="1">
      <alignment horizontal="left" vertical="center"/>
    </xf>
    <xf numFmtId="10" fontId="13" fillId="0" borderId="6" xfId="0" applyNumberFormat="1" applyFont="1" applyFill="1" applyBorder="1" applyAlignment="1">
      <alignment horizontal="left" vertical="center"/>
    </xf>
    <xf numFmtId="0" fontId="32" fillId="4" borderId="52" xfId="0" applyFont="1" applyFill="1" applyBorder="1" applyAlignment="1">
      <alignment horizontal="center" vertical="center"/>
    </xf>
    <xf numFmtId="17" fontId="33" fillId="4" borderId="53" xfId="0" applyNumberFormat="1" applyFont="1" applyFill="1" applyBorder="1" applyAlignment="1">
      <alignment horizontal="center" vertical="center"/>
    </xf>
    <xf numFmtId="4" fontId="34" fillId="4" borderId="52" xfId="0" applyNumberFormat="1" applyFont="1" applyFill="1" applyBorder="1" applyAlignment="1">
      <alignment horizontal="center" vertical="center"/>
    </xf>
    <xf numFmtId="10" fontId="33" fillId="4" borderId="53" xfId="0" applyNumberFormat="1" applyFont="1" applyFill="1" applyBorder="1" applyAlignment="1">
      <alignment horizontal="center" vertical="center"/>
    </xf>
    <xf numFmtId="4" fontId="19" fillId="0" borderId="29" xfId="0" applyNumberFormat="1" applyFont="1" applyFill="1" applyBorder="1" applyAlignment="1">
      <alignment vertical="center"/>
    </xf>
    <xf numFmtId="4" fontId="13" fillId="0" borderId="29" xfId="14" applyNumberFormat="1" applyFont="1" applyFill="1" applyBorder="1" applyAlignment="1">
      <alignment horizontal="right" vertical="center"/>
    </xf>
    <xf numFmtId="4" fontId="19" fillId="0" borderId="24" xfId="0" applyNumberFormat="1" applyFont="1" applyFill="1" applyBorder="1" applyAlignment="1">
      <alignment vertical="center"/>
    </xf>
    <xf numFmtId="0" fontId="19" fillId="0" borderId="32" xfId="0" applyFont="1" applyFill="1" applyBorder="1" applyAlignment="1">
      <alignment horizontal="center" vertical="center"/>
    </xf>
    <xf numFmtId="4" fontId="19" fillId="0" borderId="32" xfId="0" applyNumberFormat="1" applyFont="1" applyFill="1" applyBorder="1" applyAlignment="1">
      <alignment vertical="center"/>
    </xf>
    <xf numFmtId="0" fontId="19" fillId="0" borderId="32" xfId="0" applyFont="1" applyFill="1" applyBorder="1" applyAlignment="1">
      <alignment vertical="center"/>
    </xf>
    <xf numFmtId="4" fontId="13" fillId="0" borderId="32" xfId="0" applyNumberFormat="1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Continuous" vertical="center"/>
    </xf>
    <xf numFmtId="4" fontId="13" fillId="0" borderId="32" xfId="14" applyNumberFormat="1" applyFont="1" applyFill="1" applyBorder="1" applyAlignment="1">
      <alignment horizontal="right" vertical="center"/>
    </xf>
    <xf numFmtId="0" fontId="14" fillId="0" borderId="15" xfId="0" applyFont="1" applyFill="1" applyBorder="1" applyAlignment="1">
      <alignment horizontal="right" vertical="center"/>
    </xf>
    <xf numFmtId="2" fontId="13" fillId="0" borderId="6" xfId="0" applyNumberFormat="1" applyFont="1" applyFill="1" applyBorder="1" applyAlignment="1">
      <alignment horizontal="left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vertical="center" wrapText="1"/>
    </xf>
    <xf numFmtId="4" fontId="14" fillId="0" borderId="6" xfId="0" applyNumberFormat="1" applyFont="1" applyFill="1" applyBorder="1" applyAlignment="1">
      <alignment vertical="center"/>
    </xf>
    <xf numFmtId="0" fontId="14" fillId="0" borderId="6" xfId="0" applyFont="1" applyFill="1" applyBorder="1" applyAlignment="1">
      <alignment vertical="center"/>
    </xf>
    <xf numFmtId="0" fontId="14" fillId="0" borderId="15" xfId="0" applyFont="1" applyFill="1" applyBorder="1" applyAlignment="1">
      <alignment vertical="center"/>
    </xf>
    <xf numFmtId="4" fontId="13" fillId="0" borderId="14" xfId="12" applyNumberFormat="1" applyFont="1" applyFill="1" applyBorder="1" applyAlignment="1">
      <alignment horizontal="right"/>
    </xf>
    <xf numFmtId="41" fontId="14" fillId="0" borderId="20" xfId="0" applyNumberFormat="1" applyFont="1" applyFill="1" applyBorder="1" applyAlignment="1">
      <alignment horizontal="left" vertical="center"/>
    </xf>
    <xf numFmtId="41" fontId="14" fillId="0" borderId="12" xfId="0" applyNumberFormat="1" applyFont="1" applyFill="1" applyBorder="1" applyAlignment="1">
      <alignment horizontal="left" vertical="center"/>
    </xf>
    <xf numFmtId="41" fontId="14" fillId="0" borderId="13" xfId="0" applyNumberFormat="1" applyFont="1" applyFill="1" applyBorder="1" applyAlignment="1">
      <alignment horizontal="left" vertical="center"/>
    </xf>
    <xf numFmtId="41" fontId="14" fillId="0" borderId="2" xfId="0" applyNumberFormat="1" applyFont="1" applyFill="1" applyBorder="1" applyAlignment="1">
      <alignment horizontal="centerContinuous" vertical="center"/>
    </xf>
    <xf numFmtId="41" fontId="14" fillId="0" borderId="2" xfId="0" applyNumberFormat="1" applyFont="1" applyFill="1" applyBorder="1" applyAlignment="1">
      <alignment horizontal="right" vertical="center"/>
    </xf>
    <xf numFmtId="41" fontId="14" fillId="0" borderId="46" xfId="0" applyNumberFormat="1" applyFont="1" applyFill="1" applyBorder="1" applyAlignment="1">
      <alignment horizontal="right" vertical="center"/>
    </xf>
    <xf numFmtId="0" fontId="36" fillId="0" borderId="0" xfId="0" applyFont="1" applyFill="1" applyAlignment="1">
      <alignment vertical="center"/>
    </xf>
    <xf numFmtId="0" fontId="37" fillId="0" borderId="0" xfId="0" applyFont="1" applyFill="1" applyAlignment="1">
      <alignment vertical="center"/>
    </xf>
    <xf numFmtId="168" fontId="37" fillId="0" borderId="0" xfId="0" applyNumberFormat="1" applyFont="1" applyFill="1" applyAlignment="1">
      <alignment vertical="center"/>
    </xf>
    <xf numFmtId="168" fontId="36" fillId="0" borderId="0" xfId="0" applyNumberFormat="1" applyFont="1" applyFill="1" applyAlignment="1">
      <alignment vertical="center"/>
    </xf>
    <xf numFmtId="4" fontId="36" fillId="0" borderId="0" xfId="0" applyNumberFormat="1" applyFont="1" applyFill="1" applyAlignment="1">
      <alignment vertical="center"/>
    </xf>
    <xf numFmtId="0" fontId="37" fillId="0" borderId="0" xfId="11" applyFont="1" applyFill="1"/>
    <xf numFmtId="41" fontId="14" fillId="0" borderId="45" xfId="0" applyNumberFormat="1" applyFont="1" applyFill="1" applyBorder="1" applyAlignment="1">
      <alignment horizontal="left" vertical="center" wrapText="1"/>
    </xf>
    <xf numFmtId="41" fontId="14" fillId="0" borderId="2" xfId="0" applyNumberFormat="1" applyFont="1" applyFill="1" applyBorder="1" applyAlignment="1">
      <alignment horizontal="right"/>
    </xf>
    <xf numFmtId="41" fontId="14" fillId="0" borderId="46" xfId="14" applyNumberFormat="1" applyFont="1" applyFill="1" applyBorder="1" applyAlignment="1">
      <alignment horizontal="right"/>
    </xf>
    <xf numFmtId="41" fontId="14" fillId="0" borderId="46" xfId="14" applyNumberFormat="1" applyFont="1" applyFill="1" applyBorder="1" applyAlignment="1">
      <alignment horizontal="right" vertical="center"/>
    </xf>
    <xf numFmtId="41" fontId="14" fillId="0" borderId="45" xfId="0" applyNumberFormat="1" applyFont="1" applyFill="1" applyBorder="1" applyAlignment="1">
      <alignment horizontal="left" vertical="center"/>
    </xf>
    <xf numFmtId="4" fontId="14" fillId="0" borderId="14" xfId="0" applyNumberFormat="1" applyFont="1" applyFill="1" applyBorder="1" applyAlignment="1">
      <alignment horizontal="right" vertical="center"/>
    </xf>
    <xf numFmtId="4" fontId="13" fillId="0" borderId="40" xfId="14" applyNumberFormat="1" applyFont="1" applyFill="1" applyBorder="1" applyAlignment="1">
      <alignment horizontal="right" vertical="center"/>
    </xf>
    <xf numFmtId="41" fontId="14" fillId="0" borderId="2" xfId="0" applyNumberFormat="1" applyFont="1" applyFill="1" applyBorder="1" applyAlignment="1">
      <alignment horizontal="center" vertical="center"/>
    </xf>
    <xf numFmtId="41" fontId="14" fillId="0" borderId="19" xfId="0" applyNumberFormat="1" applyFont="1" applyFill="1" applyBorder="1" applyAlignment="1">
      <alignment horizontal="center" vertical="center"/>
    </xf>
    <xf numFmtId="41" fontId="14" fillId="0" borderId="14" xfId="0" applyNumberFormat="1" applyFont="1" applyFill="1" applyBorder="1" applyAlignment="1">
      <alignment horizontal="right" vertical="center"/>
    </xf>
    <xf numFmtId="164" fontId="14" fillId="0" borderId="14" xfId="0" applyNumberFormat="1" applyFont="1" applyFill="1" applyBorder="1" applyAlignment="1">
      <alignment horizontal="right" vertical="center"/>
    </xf>
    <xf numFmtId="1" fontId="14" fillId="0" borderId="0" xfId="0" applyNumberFormat="1" applyFont="1" applyFill="1" applyAlignment="1">
      <alignment horizontal="center" vertical="center"/>
    </xf>
    <xf numFmtId="164" fontId="14" fillId="0" borderId="45" xfId="0" applyNumberFormat="1" applyFont="1" applyFill="1" applyBorder="1" applyAlignment="1">
      <alignment horizontal="left" vertical="center"/>
    </xf>
    <xf numFmtId="164" fontId="14" fillId="0" borderId="2" xfId="0" applyNumberFormat="1" applyFont="1" applyFill="1" applyBorder="1" applyAlignment="1">
      <alignment horizontal="centerContinuous" vertical="center"/>
    </xf>
    <xf numFmtId="168" fontId="14" fillId="0" borderId="2" xfId="0" applyNumberFormat="1" applyFont="1" applyFill="1" applyBorder="1" applyAlignment="1">
      <alignment horizontal="right" vertical="center"/>
    </xf>
    <xf numFmtId="4" fontId="14" fillId="0" borderId="46" xfId="0" applyNumberFormat="1" applyFont="1" applyFill="1" applyBorder="1" applyAlignment="1">
      <alignment horizontal="right" vertical="center"/>
    </xf>
    <xf numFmtId="39" fontId="14" fillId="0" borderId="2" xfId="0" applyNumberFormat="1" applyFont="1" applyFill="1" applyBorder="1" applyAlignment="1">
      <alignment horizontal="center" vertical="center"/>
    </xf>
    <xf numFmtId="171" fontId="14" fillId="0" borderId="2" xfId="0" applyNumberFormat="1" applyFont="1" applyFill="1" applyBorder="1" applyAlignment="1">
      <alignment horizontal="center" vertical="center"/>
    </xf>
    <xf numFmtId="170" fontId="14" fillId="0" borderId="2" xfId="0" applyNumberFormat="1" applyFont="1" applyFill="1" applyBorder="1" applyAlignment="1">
      <alignment horizontal="right" vertical="center"/>
    </xf>
    <xf numFmtId="0" fontId="14" fillId="0" borderId="28" xfId="0" applyFont="1" applyFill="1" applyBorder="1" applyAlignment="1">
      <alignment vertical="center"/>
    </xf>
    <xf numFmtId="0" fontId="13" fillId="0" borderId="54" xfId="0" applyFont="1" applyFill="1" applyBorder="1" applyAlignment="1">
      <alignment horizontal="left" vertical="center" wrapText="1"/>
    </xf>
    <xf numFmtId="4" fontId="13" fillId="0" borderId="54" xfId="0" applyNumberFormat="1" applyFont="1" applyFill="1" applyBorder="1" applyAlignment="1">
      <alignment horizontal="left" vertical="center" wrapText="1"/>
    </xf>
    <xf numFmtId="0" fontId="13" fillId="0" borderId="55" xfId="0" applyFont="1" applyFill="1" applyBorder="1" applyAlignment="1">
      <alignment horizontal="left" vertical="center" wrapText="1"/>
    </xf>
    <xf numFmtId="4" fontId="13" fillId="0" borderId="49" xfId="0" applyNumberFormat="1" applyFont="1" applyFill="1" applyBorder="1" applyAlignment="1">
      <alignment vertical="center"/>
    </xf>
    <xf numFmtId="49" fontId="11" fillId="0" borderId="2" xfId="0" applyNumberFormat="1" applyFont="1" applyBorder="1" applyAlignment="1">
      <alignment horizontal="center" vertical="center"/>
    </xf>
    <xf numFmtId="49" fontId="38" fillId="0" borderId="2" xfId="6" applyNumberFormat="1" applyFont="1" applyBorder="1" applyAlignment="1" applyProtection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 wrapText="1"/>
    </xf>
    <xf numFmtId="0" fontId="35" fillId="0" borderId="19" xfId="0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7" fontId="35" fillId="0" borderId="19" xfId="0" applyNumberFormat="1" applyFont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0" fontId="35" fillId="0" borderId="2" xfId="0" applyFont="1" applyBorder="1" applyAlignment="1">
      <alignment vertical="center"/>
    </xf>
    <xf numFmtId="17" fontId="35" fillId="0" borderId="2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vertical="center"/>
    </xf>
    <xf numFmtId="170" fontId="14" fillId="0" borderId="2" xfId="0" applyNumberFormat="1" applyFont="1" applyFill="1" applyBorder="1" applyAlignment="1">
      <alignment horizontal="center" vertical="center"/>
    </xf>
    <xf numFmtId="168" fontId="14" fillId="0" borderId="2" xfId="0" applyNumberFormat="1" applyFont="1" applyFill="1" applyBorder="1" applyAlignment="1">
      <alignment horizontal="center" vertical="center"/>
    </xf>
    <xf numFmtId="168" fontId="14" fillId="0" borderId="13" xfId="0" applyNumberFormat="1" applyFont="1" applyFill="1" applyBorder="1" applyAlignment="1">
      <alignment horizontal="center" vertical="center"/>
    </xf>
    <xf numFmtId="164" fontId="14" fillId="0" borderId="19" xfId="0" applyNumberFormat="1" applyFont="1" applyFill="1" applyBorder="1" applyAlignment="1">
      <alignment vertical="center"/>
    </xf>
    <xf numFmtId="39" fontId="14" fillId="0" borderId="19" xfId="0" applyNumberFormat="1" applyFont="1" applyFill="1" applyBorder="1" applyAlignment="1">
      <alignment horizontal="center" vertical="center"/>
    </xf>
    <xf numFmtId="164" fontId="13" fillId="0" borderId="40" xfId="14" applyNumberFormat="1" applyFont="1" applyFill="1" applyBorder="1" applyAlignment="1">
      <alignment horizontal="right"/>
    </xf>
    <xf numFmtId="39" fontId="14" fillId="0" borderId="13" xfId="0" applyNumberFormat="1" applyFont="1" applyFill="1" applyBorder="1" applyAlignment="1">
      <alignment horizontal="center"/>
    </xf>
    <xf numFmtId="164" fontId="13" fillId="0" borderId="14" xfId="14" applyNumberFormat="1" applyFont="1" applyFill="1" applyBorder="1" applyAlignment="1">
      <alignment horizontal="right"/>
    </xf>
    <xf numFmtId="164" fontId="13" fillId="0" borderId="50" xfId="12" applyNumberFormat="1" applyFont="1" applyFill="1" applyBorder="1" applyAlignment="1">
      <alignment horizontal="right"/>
    </xf>
    <xf numFmtId="164" fontId="13" fillId="0" borderId="40" xfId="14" applyNumberFormat="1" applyFont="1" applyFill="1" applyBorder="1" applyAlignment="1">
      <alignment horizontal="right" vertical="center"/>
    </xf>
    <xf numFmtId="164" fontId="13" fillId="0" borderId="44" xfId="14" applyNumberFormat="1" applyFont="1" applyFill="1" applyBorder="1" applyAlignment="1">
      <alignment horizontal="right" vertical="center"/>
    </xf>
    <xf numFmtId="164" fontId="13" fillId="0" borderId="43" xfId="0" applyNumberFormat="1" applyFont="1" applyFill="1" applyBorder="1" applyAlignment="1">
      <alignment vertical="center"/>
    </xf>
    <xf numFmtId="164" fontId="13" fillId="0" borderId="14" xfId="0" applyNumberFormat="1" applyFont="1" applyFill="1" applyBorder="1" applyAlignment="1">
      <alignment vertical="center"/>
    </xf>
    <xf numFmtId="164" fontId="14" fillId="0" borderId="46" xfId="14" applyNumberFormat="1" applyFont="1" applyFill="1" applyBorder="1" applyAlignment="1">
      <alignment horizontal="right" vertical="center"/>
    </xf>
    <xf numFmtId="164" fontId="14" fillId="0" borderId="42" xfId="14" applyNumberFormat="1" applyFont="1" applyFill="1" applyBorder="1" applyAlignment="1">
      <alignment horizontal="right" vertical="center"/>
    </xf>
    <xf numFmtId="164" fontId="13" fillId="0" borderId="38" xfId="0" applyNumberFormat="1" applyFont="1" applyFill="1" applyBorder="1"/>
    <xf numFmtId="164" fontId="13" fillId="0" borderId="50" xfId="12" applyNumberFormat="1" applyFont="1" applyFill="1" applyBorder="1" applyAlignment="1">
      <alignment horizontal="right" vertical="center"/>
    </xf>
    <xf numFmtId="164" fontId="13" fillId="0" borderId="38" xfId="14" applyNumberFormat="1" applyFont="1" applyFill="1" applyBorder="1" applyAlignment="1">
      <alignment horizontal="right" vertical="center"/>
    </xf>
    <xf numFmtId="164" fontId="13" fillId="0" borderId="48" xfId="0" applyNumberFormat="1" applyFont="1" applyFill="1" applyBorder="1"/>
    <xf numFmtId="49" fontId="27" fillId="0" borderId="24" xfId="0" applyNumberFormat="1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/>
    </xf>
    <xf numFmtId="4" fontId="13" fillId="0" borderId="11" xfId="0" applyNumberFormat="1" applyFont="1" applyFill="1" applyBorder="1" applyAlignment="1">
      <alignment horizontal="center" vertical="center"/>
    </xf>
    <xf numFmtId="38" fontId="27" fillId="0" borderId="0" xfId="0" applyNumberFormat="1" applyFont="1" applyFill="1" applyBorder="1" applyAlignment="1">
      <alignment horizontal="center" vertical="center"/>
    </xf>
    <xf numFmtId="164" fontId="14" fillId="0" borderId="0" xfId="14" applyFont="1" applyFill="1" applyAlignment="1">
      <alignment vertical="center"/>
    </xf>
    <xf numFmtId="4" fontId="11" fillId="0" borderId="2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right" vertical="center"/>
    </xf>
    <xf numFmtId="1" fontId="11" fillId="0" borderId="0" xfId="0" applyNumberFormat="1" applyFont="1" applyFill="1" applyBorder="1" applyAlignment="1">
      <alignment vertical="center" wrapText="1"/>
    </xf>
    <xf numFmtId="1" fontId="11" fillId="0" borderId="2" xfId="0" applyNumberFormat="1" applyFont="1" applyFill="1" applyBorder="1" applyAlignment="1">
      <alignment vertical="center" wrapText="1"/>
    </xf>
    <xf numFmtId="38" fontId="27" fillId="0" borderId="0" xfId="0" applyNumberFormat="1" applyFont="1" applyFill="1" applyBorder="1" applyAlignment="1">
      <alignment vertical="center"/>
    </xf>
    <xf numFmtId="40" fontId="27" fillId="0" borderId="0" xfId="0" applyNumberFormat="1" applyFont="1" applyFill="1" applyBorder="1" applyAlignment="1">
      <alignment vertical="center"/>
    </xf>
    <xf numFmtId="38" fontId="27" fillId="0" borderId="0" xfId="0" applyNumberFormat="1" applyFont="1" applyFill="1" applyBorder="1" applyAlignment="1">
      <alignment horizontal="centerContinuous" vertical="center"/>
    </xf>
    <xf numFmtId="38" fontId="26" fillId="0" borderId="0" xfId="0" applyNumberFormat="1" applyFont="1" applyFill="1" applyBorder="1" applyAlignment="1">
      <alignment horizontal="center" vertical="center" wrapText="1"/>
    </xf>
    <xf numFmtId="40" fontId="27" fillId="0" borderId="2" xfId="0" applyNumberFormat="1" applyFont="1" applyFill="1" applyBorder="1" applyAlignment="1">
      <alignment vertical="center"/>
    </xf>
    <xf numFmtId="40" fontId="27" fillId="0" borderId="13" xfId="0" applyNumberFormat="1" applyFont="1" applyFill="1" applyBorder="1" applyAlignment="1">
      <alignment vertical="center"/>
    </xf>
    <xf numFmtId="38" fontId="27" fillId="0" borderId="11" xfId="0" applyNumberFormat="1" applyFont="1" applyFill="1" applyBorder="1" applyAlignment="1">
      <alignment vertical="center"/>
    </xf>
    <xf numFmtId="38" fontId="27" fillId="0" borderId="12" xfId="0" applyNumberFormat="1" applyFont="1" applyFill="1" applyBorder="1" applyAlignment="1">
      <alignment vertical="center"/>
    </xf>
    <xf numFmtId="38" fontId="27" fillId="0" borderId="13" xfId="0" applyNumberFormat="1" applyFont="1" applyFill="1" applyBorder="1" applyAlignment="1">
      <alignment vertical="center"/>
    </xf>
    <xf numFmtId="38" fontId="39" fillId="0" borderId="0" xfId="0" applyNumberFormat="1" applyFont="1" applyFill="1" applyBorder="1" applyAlignment="1">
      <alignment vertical="center"/>
    </xf>
    <xf numFmtId="38" fontId="39" fillId="0" borderId="2" xfId="0" applyNumberFormat="1" applyFont="1" applyFill="1" applyBorder="1" applyAlignment="1">
      <alignment horizontal="centerContinuous" vertical="center"/>
    </xf>
    <xf numFmtId="38" fontId="39" fillId="0" borderId="2" xfId="0" applyNumberFormat="1" applyFont="1" applyFill="1" applyBorder="1" applyAlignment="1">
      <alignment horizontal="center" vertical="center"/>
    </xf>
    <xf numFmtId="38" fontId="25" fillId="0" borderId="0" xfId="0" applyNumberFormat="1" applyFont="1" applyBorder="1" applyAlignment="1">
      <alignment horizontal="center" vertical="center"/>
    </xf>
    <xf numFmtId="38" fontId="26" fillId="0" borderId="0" xfId="0" applyNumberFormat="1" applyFont="1" applyBorder="1" applyAlignment="1">
      <alignment horizontal="centerContinuous" vertical="center"/>
    </xf>
    <xf numFmtId="40" fontId="24" fillId="0" borderId="0" xfId="0" applyNumberFormat="1" applyFont="1" applyBorder="1" applyAlignment="1">
      <alignment vertical="center"/>
    </xf>
    <xf numFmtId="49" fontId="24" fillId="0" borderId="2" xfId="0" applyNumberFormat="1" applyFont="1" applyBorder="1" applyAlignment="1">
      <alignment horizontal="center" vertical="center"/>
    </xf>
    <xf numFmtId="40" fontId="24" fillId="0" borderId="2" xfId="0" applyNumberFormat="1" applyFont="1" applyBorder="1" applyAlignment="1">
      <alignment horizontal="right" vertical="center"/>
    </xf>
    <xf numFmtId="49" fontId="24" fillId="0" borderId="11" xfId="0" applyNumberFormat="1" applyFont="1" applyBorder="1" applyAlignment="1">
      <alignment horizontal="center" vertical="center"/>
    </xf>
    <xf numFmtId="40" fontId="24" fillId="0" borderId="13" xfId="0" applyNumberFormat="1" applyFont="1" applyBorder="1" applyAlignment="1">
      <alignment horizontal="right" vertical="center"/>
    </xf>
    <xf numFmtId="38" fontId="24" fillId="0" borderId="11" xfId="0" applyNumberFormat="1" applyFont="1" applyBorder="1" applyAlignment="1">
      <alignment horizontal="left" vertical="center" indent="1"/>
    </xf>
    <xf numFmtId="38" fontId="24" fillId="0" borderId="12" xfId="0" applyNumberFormat="1" applyFont="1" applyBorder="1" applyAlignment="1">
      <alignment horizontal="centerContinuous" vertical="center"/>
    </xf>
    <xf numFmtId="38" fontId="24" fillId="0" borderId="13" xfId="0" applyNumberFormat="1" applyFont="1" applyBorder="1" applyAlignment="1">
      <alignment horizontal="centerContinuous" vertical="center"/>
    </xf>
    <xf numFmtId="38" fontId="40" fillId="0" borderId="2" xfId="0" applyNumberFormat="1" applyFont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left" vertical="center" indent="1"/>
    </xf>
    <xf numFmtId="2" fontId="14" fillId="0" borderId="0" xfId="0" applyNumberFormat="1" applyFont="1" applyFill="1" applyBorder="1" applyAlignment="1">
      <alignment horizontal="centerContinuous" vertical="center"/>
    </xf>
    <xf numFmtId="0" fontId="29" fillId="0" borderId="0" xfId="11" applyFont="1" applyFill="1" applyBorder="1" applyAlignment="1">
      <alignment horizontal="center" vertical="center"/>
    </xf>
    <xf numFmtId="4" fontId="14" fillId="0" borderId="11" xfId="0" applyNumberFormat="1" applyFont="1" applyFill="1" applyBorder="1" applyAlignment="1">
      <alignment horizontal="center" vertical="center"/>
    </xf>
    <xf numFmtId="4" fontId="11" fillId="0" borderId="13" xfId="0" applyNumberFormat="1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vertical="center"/>
    </xf>
    <xf numFmtId="4" fontId="14" fillId="0" borderId="2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left" vertical="center"/>
    </xf>
    <xf numFmtId="38" fontId="40" fillId="0" borderId="2" xfId="0" applyNumberFormat="1" applyFont="1" applyBorder="1" applyAlignment="1">
      <alignment horizontal="centerContinuous" vertical="center"/>
    </xf>
    <xf numFmtId="40" fontId="40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2" fontId="14" fillId="0" borderId="11" xfId="0" applyNumberFormat="1" applyFont="1" applyFill="1" applyBorder="1" applyAlignment="1">
      <alignment horizontal="center" vertical="center"/>
    </xf>
    <xf numFmtId="2" fontId="14" fillId="0" borderId="13" xfId="0" applyNumberFormat="1" applyFont="1" applyFill="1" applyBorder="1" applyAlignment="1">
      <alignment horizontal="center" vertical="center"/>
    </xf>
    <xf numFmtId="4" fontId="13" fillId="0" borderId="3" xfId="0" applyNumberFormat="1" applyFont="1" applyFill="1" applyBorder="1" applyAlignment="1">
      <alignment horizontal="center" vertical="center"/>
    </xf>
    <xf numFmtId="4" fontId="13" fillId="0" borderId="16" xfId="0" applyNumberFormat="1" applyFont="1" applyFill="1" applyBorder="1" applyAlignment="1">
      <alignment horizontal="center" vertical="center"/>
    </xf>
    <xf numFmtId="4" fontId="13" fillId="0" borderId="4" xfId="0" applyNumberFormat="1" applyFont="1" applyFill="1" applyBorder="1" applyAlignment="1">
      <alignment horizontal="center" vertical="center"/>
    </xf>
    <xf numFmtId="4" fontId="13" fillId="0" borderId="18" xfId="0" applyNumberFormat="1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39" fontId="14" fillId="0" borderId="11" xfId="0" applyNumberFormat="1" applyFont="1" applyFill="1" applyBorder="1" applyAlignment="1">
      <alignment horizontal="center" vertical="center"/>
    </xf>
    <xf numFmtId="39" fontId="14" fillId="0" borderId="13" xfId="0" applyNumberFormat="1" applyFont="1" applyFill="1" applyBorder="1" applyAlignment="1">
      <alignment horizontal="center" vertical="center"/>
    </xf>
    <xf numFmtId="2" fontId="13" fillId="0" borderId="11" xfId="0" applyNumberFormat="1" applyFont="1" applyFill="1" applyBorder="1" applyAlignment="1">
      <alignment horizontal="center" vertical="center" wrapText="1"/>
    </xf>
    <xf numFmtId="2" fontId="13" fillId="0" borderId="12" xfId="0" applyNumberFormat="1" applyFont="1" applyFill="1" applyBorder="1" applyAlignment="1">
      <alignment horizontal="center" vertical="center" wrapText="1"/>
    </xf>
    <xf numFmtId="2" fontId="13" fillId="0" borderId="46" xfId="0" applyNumberFormat="1" applyFont="1" applyFill="1" applyBorder="1" applyAlignment="1">
      <alignment horizontal="center" vertical="center" wrapText="1"/>
    </xf>
    <xf numFmtId="4" fontId="13" fillId="0" borderId="11" xfId="0" applyNumberFormat="1" applyFont="1" applyFill="1" applyBorder="1" applyAlignment="1">
      <alignment horizontal="center" vertical="center" wrapText="1"/>
    </xf>
    <xf numFmtId="4" fontId="13" fillId="0" borderId="12" xfId="0" applyNumberFormat="1" applyFont="1" applyFill="1" applyBorder="1" applyAlignment="1">
      <alignment horizontal="center" vertical="center" wrapText="1"/>
    </xf>
    <xf numFmtId="4" fontId="13" fillId="0" borderId="13" xfId="0" applyNumberFormat="1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4" fontId="13" fillId="0" borderId="5" xfId="0" applyNumberFormat="1" applyFont="1" applyFill="1" applyBorder="1" applyAlignment="1">
      <alignment horizontal="center" vertical="center"/>
    </xf>
    <xf numFmtId="4" fontId="13" fillId="0" borderId="19" xfId="0" applyNumberFormat="1" applyFont="1" applyFill="1" applyBorder="1" applyAlignment="1">
      <alignment horizontal="center" vertical="center"/>
    </xf>
    <xf numFmtId="4" fontId="13" fillId="0" borderId="43" xfId="0" applyNumberFormat="1" applyFont="1" applyFill="1" applyBorder="1" applyAlignment="1">
      <alignment horizontal="center" vertical="center" wrapText="1"/>
    </xf>
    <xf numFmtId="4" fontId="13" fillId="0" borderId="40" xfId="0" applyNumberFormat="1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4" fontId="19" fillId="0" borderId="28" xfId="0" applyNumberFormat="1" applyFont="1" applyFill="1" applyBorder="1" applyAlignment="1">
      <alignment horizontal="center" vertical="center"/>
    </xf>
    <xf numFmtId="4" fontId="19" fillId="0" borderId="56" xfId="0" applyNumberFormat="1" applyFont="1" applyFill="1" applyBorder="1" applyAlignment="1">
      <alignment horizontal="center" vertical="center"/>
    </xf>
    <xf numFmtId="4" fontId="19" fillId="0" borderId="17" xfId="0" applyNumberFormat="1" applyFont="1" applyFill="1" applyBorder="1" applyAlignment="1">
      <alignment horizontal="center" vertical="center"/>
    </xf>
    <xf numFmtId="4" fontId="19" fillId="0" borderId="18" xfId="0" applyNumberFormat="1" applyFont="1" applyFill="1" applyBorder="1" applyAlignment="1">
      <alignment horizontal="center" vertical="center"/>
    </xf>
    <xf numFmtId="4" fontId="13" fillId="0" borderId="57" xfId="0" applyNumberFormat="1" applyFont="1" applyFill="1" applyBorder="1" applyAlignment="1">
      <alignment horizontal="center" vertical="center"/>
    </xf>
    <xf numFmtId="4" fontId="13" fillId="0" borderId="54" xfId="0" applyNumberFormat="1" applyFont="1" applyFill="1" applyBorder="1" applyAlignment="1">
      <alignment horizontal="center" vertical="center"/>
    </xf>
    <xf numFmtId="4" fontId="13" fillId="0" borderId="55" xfId="0" applyNumberFormat="1" applyFont="1" applyFill="1" applyBorder="1" applyAlignment="1">
      <alignment horizontal="center" vertical="center"/>
    </xf>
    <xf numFmtId="0" fontId="13" fillId="0" borderId="58" xfId="0" applyFont="1" applyFill="1" applyBorder="1" applyAlignment="1">
      <alignment horizontal="center" vertical="center"/>
    </xf>
    <xf numFmtId="0" fontId="13" fillId="0" borderId="39" xfId="0" applyFont="1" applyFill="1" applyBorder="1" applyAlignment="1">
      <alignment horizontal="center" vertical="center"/>
    </xf>
    <xf numFmtId="4" fontId="13" fillId="0" borderId="43" xfId="0" applyNumberFormat="1" applyFont="1" applyFill="1" applyBorder="1" applyAlignment="1">
      <alignment horizontal="center" vertical="center"/>
    </xf>
    <xf numFmtId="4" fontId="13" fillId="0" borderId="40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169" fontId="14" fillId="0" borderId="11" xfId="0" applyNumberFormat="1" applyFont="1" applyFill="1" applyBorder="1" applyAlignment="1">
      <alignment horizontal="center" vertical="center"/>
    </xf>
    <xf numFmtId="169" fontId="14" fillId="0" borderId="13" xfId="0" applyNumberFormat="1" applyFont="1" applyFill="1" applyBorder="1" applyAlignment="1">
      <alignment horizontal="center" vertical="center"/>
    </xf>
    <xf numFmtId="4" fontId="13" fillId="0" borderId="11" xfId="0" applyNumberFormat="1" applyFont="1" applyFill="1" applyBorder="1" applyAlignment="1">
      <alignment horizontal="center" vertical="center"/>
    </xf>
    <xf numFmtId="4" fontId="13" fillId="0" borderId="13" xfId="0" applyNumberFormat="1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left" vertical="center" wrapText="1"/>
    </xf>
    <xf numFmtId="0" fontId="13" fillId="0" borderId="24" xfId="0" applyFont="1" applyFill="1" applyBorder="1" applyAlignment="1">
      <alignment horizontal="left" vertical="center" wrapText="1"/>
    </xf>
    <xf numFmtId="4" fontId="13" fillId="0" borderId="28" xfId="0" applyNumberFormat="1" applyFont="1" applyFill="1" applyBorder="1" applyAlignment="1">
      <alignment horizontal="center" vertical="center"/>
    </xf>
    <xf numFmtId="4" fontId="13" fillId="0" borderId="56" xfId="0" applyNumberFormat="1" applyFont="1" applyFill="1" applyBorder="1" applyAlignment="1">
      <alignment horizontal="center" vertical="center"/>
    </xf>
    <xf numFmtId="4" fontId="13" fillId="0" borderId="17" xfId="0" applyNumberFormat="1" applyFont="1" applyFill="1" applyBorder="1" applyAlignment="1">
      <alignment horizontal="center" vertical="center"/>
    </xf>
    <xf numFmtId="4" fontId="13" fillId="0" borderId="57" xfId="0" applyNumberFormat="1" applyFont="1" applyFill="1" applyBorder="1" applyAlignment="1">
      <alignment horizontal="center" vertical="center" wrapText="1"/>
    </xf>
    <xf numFmtId="4" fontId="13" fillId="0" borderId="54" xfId="0" applyNumberFormat="1" applyFont="1" applyFill="1" applyBorder="1" applyAlignment="1">
      <alignment horizontal="center" vertical="center" wrapText="1"/>
    </xf>
    <xf numFmtId="4" fontId="13" fillId="0" borderId="55" xfId="0" applyNumberFormat="1" applyFont="1" applyFill="1" applyBorder="1" applyAlignment="1">
      <alignment horizontal="center" vertical="center" wrapText="1"/>
    </xf>
    <xf numFmtId="2" fontId="14" fillId="0" borderId="11" xfId="0" applyNumberFormat="1" applyFont="1" applyFill="1" applyBorder="1" applyAlignment="1">
      <alignment horizontal="center" vertical="center" wrapText="1"/>
    </xf>
    <xf numFmtId="2" fontId="14" fillId="0" borderId="13" xfId="0" applyNumberFormat="1" applyFont="1" applyFill="1" applyBorder="1" applyAlignment="1">
      <alignment horizontal="center" vertical="center" wrapText="1"/>
    </xf>
    <xf numFmtId="10" fontId="13" fillId="0" borderId="37" xfId="0" applyNumberFormat="1" applyFont="1" applyFill="1" applyBorder="1" applyAlignment="1">
      <alignment horizontal="left" vertical="center" wrapText="1"/>
    </xf>
    <xf numFmtId="10" fontId="13" fillId="0" borderId="24" xfId="0" applyNumberFormat="1" applyFont="1" applyFill="1" applyBorder="1" applyAlignment="1">
      <alignment horizontal="left" vertical="center" wrapText="1"/>
    </xf>
    <xf numFmtId="0" fontId="13" fillId="0" borderId="32" xfId="0" applyFont="1" applyFill="1" applyBorder="1" applyAlignment="1">
      <alignment horizontal="center" vertical="center"/>
    </xf>
    <xf numFmtId="0" fontId="13" fillId="0" borderId="36" xfId="0" applyFont="1" applyFill="1" applyBorder="1" applyAlignment="1">
      <alignment horizontal="center" vertical="center"/>
    </xf>
    <xf numFmtId="2" fontId="13" fillId="0" borderId="11" xfId="0" applyNumberFormat="1" applyFont="1" applyFill="1" applyBorder="1" applyAlignment="1">
      <alignment horizontal="left" vertical="center" wrapText="1"/>
    </xf>
    <xf numFmtId="2" fontId="13" fillId="0" borderId="12" xfId="0" applyNumberFormat="1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3" fillId="0" borderId="59" xfId="0" applyFont="1" applyFill="1" applyBorder="1" applyAlignment="1">
      <alignment horizontal="center" vertical="center"/>
    </xf>
    <xf numFmtId="0" fontId="13" fillId="0" borderId="54" xfId="0" applyFont="1" applyFill="1" applyBorder="1" applyAlignment="1">
      <alignment horizontal="center" vertical="center"/>
    </xf>
    <xf numFmtId="0" fontId="13" fillId="0" borderId="55" xfId="0" applyFont="1" applyFill="1" applyBorder="1" applyAlignment="1">
      <alignment horizontal="center" vertical="center"/>
    </xf>
    <xf numFmtId="4" fontId="13" fillId="0" borderId="11" xfId="0" applyNumberFormat="1" applyFont="1" applyFill="1" applyBorder="1" applyAlignment="1">
      <alignment horizontal="left" vertical="center" wrapText="1"/>
    </xf>
    <xf numFmtId="4" fontId="13" fillId="0" borderId="12" xfId="0" applyNumberFormat="1" applyFont="1" applyFill="1" applyBorder="1" applyAlignment="1">
      <alignment horizontal="left" vertical="center" wrapText="1"/>
    </xf>
    <xf numFmtId="4" fontId="13" fillId="0" borderId="13" xfId="0" applyNumberFormat="1" applyFont="1" applyFill="1" applyBorder="1" applyAlignment="1">
      <alignment horizontal="left" vertical="center" wrapText="1"/>
    </xf>
    <xf numFmtId="4" fontId="13" fillId="0" borderId="20" xfId="0" applyNumberFormat="1" applyFont="1" applyFill="1" applyBorder="1" applyAlignment="1">
      <alignment horizontal="center" vertical="center"/>
    </xf>
    <xf numFmtId="4" fontId="13" fillId="0" borderId="12" xfId="0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  <xf numFmtId="4" fontId="13" fillId="0" borderId="15" xfId="0" applyNumberFormat="1" applyFont="1" applyFill="1" applyBorder="1" applyAlignment="1">
      <alignment horizontal="center" vertical="center"/>
    </xf>
    <xf numFmtId="4" fontId="13" fillId="0" borderId="6" xfId="0" applyNumberFormat="1" applyFont="1" applyFill="1" applyBorder="1" applyAlignment="1">
      <alignment horizontal="center" vertical="center"/>
    </xf>
    <xf numFmtId="4" fontId="13" fillId="0" borderId="7" xfId="0" applyNumberFormat="1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164" fontId="14" fillId="0" borderId="11" xfId="0" applyNumberFormat="1" applyFont="1" applyFill="1" applyBorder="1" applyAlignment="1">
      <alignment horizontal="center" vertical="center" wrapText="1"/>
    </xf>
    <xf numFmtId="164" fontId="14" fillId="0" borderId="13" xfId="0" applyNumberFormat="1" applyFont="1" applyFill="1" applyBorder="1" applyAlignment="1">
      <alignment horizontal="center" vertical="center" wrapText="1"/>
    </xf>
    <xf numFmtId="0" fontId="13" fillId="0" borderId="57" xfId="0" applyFont="1" applyFill="1" applyBorder="1" applyAlignment="1">
      <alignment horizontal="left" wrapText="1"/>
    </xf>
    <xf numFmtId="0" fontId="13" fillId="0" borderId="54" xfId="0" applyFont="1" applyFill="1" applyBorder="1" applyAlignment="1">
      <alignment horizontal="left" wrapText="1"/>
    </xf>
    <xf numFmtId="164" fontId="14" fillId="0" borderId="11" xfId="0" applyNumberFormat="1" applyFont="1" applyFill="1" applyBorder="1" applyAlignment="1">
      <alignment horizontal="center" vertical="center"/>
    </xf>
    <xf numFmtId="164" fontId="14" fillId="0" borderId="13" xfId="0" applyNumberFormat="1" applyFont="1" applyFill="1" applyBorder="1" applyAlignment="1">
      <alignment horizontal="center" vertical="center"/>
    </xf>
    <xf numFmtId="0" fontId="17" fillId="0" borderId="0" xfId="11" applyFont="1" applyFill="1" applyAlignment="1">
      <alignment horizontal="center" vertical="center"/>
    </xf>
    <xf numFmtId="0" fontId="13" fillId="0" borderId="20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/>
    </xf>
    <xf numFmtId="2" fontId="13" fillId="0" borderId="11" xfId="0" applyNumberFormat="1" applyFont="1" applyFill="1" applyBorder="1" applyAlignment="1">
      <alignment horizontal="center" vertical="center"/>
    </xf>
    <xf numFmtId="2" fontId="13" fillId="0" borderId="12" xfId="0" applyNumberFormat="1" applyFont="1" applyFill="1" applyBorder="1" applyAlignment="1">
      <alignment horizontal="center" vertical="center"/>
    </xf>
    <xf numFmtId="41" fontId="14" fillId="0" borderId="11" xfId="0" applyNumberFormat="1" applyFont="1" applyFill="1" applyBorder="1" applyAlignment="1">
      <alignment horizontal="center" vertical="center"/>
    </xf>
    <xf numFmtId="41" fontId="14" fillId="0" borderId="13" xfId="0" applyNumberFormat="1" applyFont="1" applyFill="1" applyBorder="1" applyAlignment="1">
      <alignment horizontal="center" vertical="center"/>
    </xf>
    <xf numFmtId="41" fontId="14" fillId="0" borderId="11" xfId="0" applyNumberFormat="1" applyFont="1" applyFill="1" applyBorder="1" applyAlignment="1">
      <alignment horizontal="center" vertical="center" wrapText="1"/>
    </xf>
    <xf numFmtId="41" fontId="14" fillId="0" borderId="13" xfId="0" applyNumberFormat="1" applyFont="1" applyFill="1" applyBorder="1" applyAlignment="1">
      <alignment horizontal="center" vertical="center" wrapText="1"/>
    </xf>
    <xf numFmtId="43" fontId="14" fillId="0" borderId="11" xfId="0" applyNumberFormat="1" applyFont="1" applyFill="1" applyBorder="1" applyAlignment="1">
      <alignment horizontal="center" vertical="center"/>
    </xf>
    <xf numFmtId="43" fontId="14" fillId="0" borderId="13" xfId="0" applyNumberFormat="1" applyFont="1" applyFill="1" applyBorder="1" applyAlignment="1">
      <alignment horizontal="center" vertical="center"/>
    </xf>
    <xf numFmtId="43" fontId="14" fillId="0" borderId="11" xfId="0" applyNumberFormat="1" applyFont="1" applyFill="1" applyBorder="1" applyAlignment="1">
      <alignment horizontal="center" vertical="center" wrapText="1"/>
    </xf>
    <xf numFmtId="43" fontId="14" fillId="0" borderId="13" xfId="0" applyNumberFormat="1" applyFont="1" applyFill="1" applyBorder="1" applyAlignment="1">
      <alignment horizontal="center" vertical="center" wrapText="1"/>
    </xf>
    <xf numFmtId="167" fontId="14" fillId="0" borderId="11" xfId="0" applyNumberFormat="1" applyFont="1" applyFill="1" applyBorder="1" applyAlignment="1">
      <alignment horizontal="center" vertical="center"/>
    </xf>
    <xf numFmtId="167" fontId="14" fillId="0" borderId="13" xfId="0" applyNumberFormat="1" applyFont="1" applyFill="1" applyBorder="1" applyAlignment="1">
      <alignment horizontal="center" vertical="center"/>
    </xf>
    <xf numFmtId="49" fontId="30" fillId="0" borderId="28" xfId="0" applyNumberFormat="1" applyFont="1" applyFill="1" applyBorder="1" applyAlignment="1">
      <alignment horizontal="center" vertical="center"/>
    </xf>
    <xf numFmtId="49" fontId="30" fillId="0" borderId="56" xfId="0" applyNumberFormat="1" applyFont="1" applyFill="1" applyBorder="1" applyAlignment="1">
      <alignment horizontal="center" vertical="center"/>
    </xf>
    <xf numFmtId="49" fontId="30" fillId="0" borderId="17" xfId="0" applyNumberFormat="1" applyFont="1" applyFill="1" applyBorder="1" applyAlignment="1">
      <alignment horizontal="center" vertical="center"/>
    </xf>
    <xf numFmtId="49" fontId="30" fillId="0" borderId="18" xfId="0" applyNumberFormat="1" applyFont="1" applyFill="1" applyBorder="1" applyAlignment="1">
      <alignment horizontal="center" vertical="center"/>
    </xf>
    <xf numFmtId="2" fontId="13" fillId="0" borderId="46" xfId="0" applyNumberFormat="1" applyFont="1" applyFill="1" applyBorder="1" applyAlignment="1">
      <alignment horizontal="center" vertical="center"/>
    </xf>
    <xf numFmtId="38" fontId="39" fillId="0" borderId="2" xfId="0" applyNumberFormat="1" applyFont="1" applyFill="1" applyBorder="1" applyAlignment="1">
      <alignment horizontal="center" vertical="center"/>
    </xf>
    <xf numFmtId="38" fontId="39" fillId="0" borderId="5" xfId="0" applyNumberFormat="1" applyFont="1" applyFill="1" applyBorder="1" applyAlignment="1">
      <alignment horizontal="center" vertical="center"/>
    </xf>
    <xf numFmtId="38" fontId="26" fillId="0" borderId="0" xfId="0" applyNumberFormat="1" applyFont="1" applyFill="1" applyBorder="1" applyAlignment="1">
      <alignment horizontal="center" vertical="center" wrapText="1"/>
    </xf>
    <xf numFmtId="38" fontId="39" fillId="0" borderId="5" xfId="0" applyNumberFormat="1" applyFont="1" applyBorder="1" applyAlignment="1">
      <alignment horizontal="center" vertical="center"/>
    </xf>
    <xf numFmtId="38" fontId="39" fillId="0" borderId="22" xfId="0" applyNumberFormat="1" applyFont="1" applyBorder="1" applyAlignment="1">
      <alignment horizontal="center" vertical="center"/>
    </xf>
    <xf numFmtId="38" fontId="39" fillId="0" borderId="19" xfId="0" applyNumberFormat="1" applyFont="1" applyBorder="1" applyAlignment="1">
      <alignment horizontal="center" vertical="center"/>
    </xf>
    <xf numFmtId="38" fontId="40" fillId="0" borderId="2" xfId="0" applyNumberFormat="1" applyFont="1" applyBorder="1" applyAlignment="1">
      <alignment horizontal="center" vertical="center"/>
    </xf>
    <xf numFmtId="38" fontId="40" fillId="0" borderId="5" xfId="0" applyNumberFormat="1" applyFont="1" applyBorder="1" applyAlignment="1">
      <alignment horizontal="center" vertical="center"/>
    </xf>
    <xf numFmtId="0" fontId="19" fillId="0" borderId="0" xfId="11" applyFont="1" applyFill="1" applyAlignment="1">
      <alignment horizontal="center" vertical="center"/>
    </xf>
    <xf numFmtId="0" fontId="19" fillId="0" borderId="0" xfId="11" applyFont="1" applyFill="1" applyBorder="1" applyAlignment="1">
      <alignment horizontal="center" vertical="center"/>
    </xf>
    <xf numFmtId="0" fontId="29" fillId="0" borderId="0" xfId="11" applyFont="1" applyFill="1" applyBorder="1" applyAlignment="1">
      <alignment horizontal="center" vertical="center"/>
    </xf>
  </cellXfs>
  <cellStyles count="16">
    <cellStyle name="Cabeçalho 1" xfId="1"/>
    <cellStyle name="Cabeçalho 2" xfId="2"/>
    <cellStyle name="Comma0" xfId="3"/>
    <cellStyle name="Data" xfId="4"/>
    <cellStyle name="Fixo" xfId="5"/>
    <cellStyle name="Hyperlink" xfId="6" builtinId="8"/>
    <cellStyle name="Indefinido" xfId="7"/>
    <cellStyle name="Moeda0" xfId="8"/>
    <cellStyle name="mpenho" xfId="9"/>
    <cellStyle name="Normal" xfId="0" builtinId="0"/>
    <cellStyle name="Normal_Demonst.Preços por obra_dez 2005" xfId="10"/>
    <cellStyle name="Normal_Demonst.Preços-Trabalhos Iniciais_dez 2005" xfId="11"/>
    <cellStyle name="Porcentagem" xfId="12" builtinId="5"/>
    <cellStyle name="Ricardo" xfId="13"/>
    <cellStyle name="Separador de milhares" xfId="14" builtinId="3"/>
    <cellStyle name="Vírgula0" xf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ervidor\Configura&#231;&#245;es%20locais\Temporary%20Internet%20Files\Content.IE5\T1Q7SKCS\pre&#231;os%20unit&#225;rio\TRABALHOS%20INICIAIS\Demonst.Pre&#231;os-Trabalhos%20Iniciais_dez%2020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7\c\Rede%20Ruppel\Vetec\DER-SP_Junho_07\Orc\Composi&#231;&#245;es\SERVICOS_AUXILIAR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Documents%20and%20Settings\C%20arlos%20%20Machado\My%20Documents\Disco%201\BR-262-MS(3)\Anexos%20PGQ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USTOS"/>
      <sheetName val="1.1-Pavimento-T.Inic"/>
      <sheetName val="1.2-Cant.Central-FxDominio-T.In"/>
      <sheetName val="1.3-OAE-T.Inic"/>
      <sheetName val="1.4-Disp.Segurança-T.Inic"/>
      <sheetName val="1.5-Sinalização-T.Inic"/>
      <sheetName val="1.6-Drenagem-T.Inic"/>
      <sheetName val="1.7-Iluminação-T.Inic"/>
      <sheetName val="1.8-Recup. Ambiente-T.Inic"/>
    </sheetNames>
    <sheetDataSet>
      <sheetData sheetId="0" refreshError="1"/>
      <sheetData sheetId="1"/>
      <sheetData sheetId="2"/>
      <sheetData sheetId="3"/>
      <sheetData sheetId="4"/>
      <sheetData sheetId="5">
        <row r="7">
          <cell r="B7" t="str">
            <v>1.5.2.1</v>
          </cell>
          <cell r="C7" t="str">
            <v>Titulo do Preço Composto</v>
          </cell>
          <cell r="E7" t="str">
            <v>Cadastro da sinalização vertical</v>
          </cell>
          <cell r="Q7" t="str">
            <v>Unidade</v>
          </cell>
          <cell r="R7" t="str">
            <v>m2</v>
          </cell>
          <cell r="T7">
            <v>238.07</v>
          </cell>
          <cell r="U7">
            <v>238.07</v>
          </cell>
        </row>
        <row r="9">
          <cell r="B9" t="str">
            <v>Item</v>
          </cell>
          <cell r="C9" t="str">
            <v>Descrição</v>
          </cell>
          <cell r="F9" t="str">
            <v>Data Ref.</v>
          </cell>
          <cell r="G9" t="str">
            <v>Unidade</v>
          </cell>
          <cell r="H9" t="str">
            <v>Espessura</v>
          </cell>
          <cell r="I9" t="str">
            <v>Quantidade</v>
          </cell>
          <cell r="N9" t="str">
            <v>DTM</v>
          </cell>
          <cell r="O9" t="str">
            <v>Transporte</v>
          </cell>
          <cell r="Q9" t="str">
            <v>Custo</v>
          </cell>
        </row>
        <row r="10">
          <cell r="F10" t="str">
            <v>Data Ref.</v>
          </cell>
          <cell r="I10" t="str">
            <v>Unitária</v>
          </cell>
          <cell r="J10" t="str">
            <v>Participação</v>
          </cell>
          <cell r="K10" t="str">
            <v>Conversão</v>
          </cell>
          <cell r="L10" t="str">
            <v>Perda</v>
          </cell>
          <cell r="M10" t="str">
            <v>Total</v>
          </cell>
          <cell r="O10" t="str">
            <v>Fixo</v>
          </cell>
          <cell r="P10" t="str">
            <v>Variavel</v>
          </cell>
          <cell r="Q10" t="str">
            <v>Unitário</v>
          </cell>
          <cell r="R10" t="str">
            <v>Total</v>
          </cell>
        </row>
        <row r="12">
          <cell r="B12" t="str">
            <v>1.1</v>
          </cell>
          <cell r="C12" t="str">
            <v>Mobilização</v>
          </cell>
          <cell r="F12">
            <v>38687</v>
          </cell>
          <cell r="G12" t="str">
            <v>vb</v>
          </cell>
          <cell r="I12">
            <v>1</v>
          </cell>
          <cell r="J12">
            <v>1</v>
          </cell>
          <cell r="K12">
            <v>5.0000000000000001E-3</v>
          </cell>
          <cell r="L12">
            <v>1</v>
          </cell>
          <cell r="M12">
            <v>5.0000000000000001E-3</v>
          </cell>
          <cell r="P12" t="str">
            <v/>
          </cell>
          <cell r="Q12">
            <v>10000</v>
          </cell>
          <cell r="R12">
            <v>50</v>
          </cell>
        </row>
        <row r="13">
          <cell r="B13" t="str">
            <v>1.2</v>
          </cell>
          <cell r="C13" t="str">
            <v>Levantamento</v>
          </cell>
          <cell r="F13">
            <v>38687</v>
          </cell>
          <cell r="G13" t="str">
            <v>km</v>
          </cell>
          <cell r="I13">
            <v>1</v>
          </cell>
          <cell r="J13">
            <v>1</v>
          </cell>
          <cell r="K13">
            <v>1</v>
          </cell>
          <cell r="L13">
            <v>1</v>
          </cell>
          <cell r="M13">
            <v>1</v>
          </cell>
          <cell r="P13" t="str">
            <v/>
          </cell>
          <cell r="Q13">
            <v>150</v>
          </cell>
          <cell r="R13">
            <v>150</v>
          </cell>
        </row>
        <row r="25">
          <cell r="C25" t="str">
            <v>Sinalização Provisória / Equipe de Tráfego</v>
          </cell>
          <cell r="M25">
            <v>0.02</v>
          </cell>
          <cell r="Q25">
            <v>200</v>
          </cell>
          <cell r="R25">
            <v>4</v>
          </cell>
        </row>
        <row r="28">
          <cell r="B28" t="str">
            <v>Sub - Total</v>
          </cell>
          <cell r="R28">
            <v>204</v>
          </cell>
        </row>
        <row r="29">
          <cell r="B29" t="str">
            <v>Contingências devido tipo contrato - preço unitário / preço global</v>
          </cell>
          <cell r="Q29">
            <v>0</v>
          </cell>
          <cell r="R29">
            <v>0</v>
          </cell>
        </row>
        <row r="30">
          <cell r="B30" t="str">
            <v>DI</v>
          </cell>
          <cell r="Q30">
            <v>0.16699999999999998</v>
          </cell>
          <cell r="R30">
            <v>34.07</v>
          </cell>
        </row>
        <row r="31">
          <cell r="B31" t="str">
            <v xml:space="preserve">Preço Unitário </v>
          </cell>
          <cell r="R31">
            <v>238.07</v>
          </cell>
        </row>
        <row r="32">
          <cell r="B32" t="str">
            <v xml:space="preserve">Preço Unitário </v>
          </cell>
          <cell r="R32">
            <v>238.07</v>
          </cell>
        </row>
        <row r="35">
          <cell r="B35" t="str">
            <v>Obs.</v>
          </cell>
        </row>
        <row r="37">
          <cell r="C37" t="str">
            <v>( 1 ) Adotado similar a "Limpeza de Sarjeta e Meio Fio" ( código 3.S.08.300.01 )</v>
          </cell>
        </row>
        <row r="48">
          <cell r="B48" t="str">
            <v>1.5.1.1</v>
          </cell>
          <cell r="C48" t="str">
            <v>Titulo do Preço Composto</v>
          </cell>
          <cell r="E48" t="str">
            <v>Sinalização Horizontal a Frio</v>
          </cell>
          <cell r="Q48" t="str">
            <v>Unidade</v>
          </cell>
          <cell r="R48" t="str">
            <v>m2</v>
          </cell>
          <cell r="T48">
            <v>13.29</v>
          </cell>
          <cell r="U48">
            <v>13.29</v>
          </cell>
        </row>
        <row r="50">
          <cell r="B50" t="str">
            <v>Item</v>
          </cell>
          <cell r="C50" t="str">
            <v>Descrição</v>
          </cell>
          <cell r="F50" t="str">
            <v>Data Ref.</v>
          </cell>
          <cell r="G50" t="str">
            <v>Unidade</v>
          </cell>
          <cell r="H50" t="str">
            <v>Espessura</v>
          </cell>
          <cell r="I50" t="str">
            <v>Quantidade</v>
          </cell>
          <cell r="N50" t="str">
            <v>DTM</v>
          </cell>
          <cell r="O50" t="str">
            <v>Transporte</v>
          </cell>
          <cell r="Q50" t="str">
            <v>Custo</v>
          </cell>
        </row>
        <row r="51">
          <cell r="F51" t="str">
            <v>Data Ref.</v>
          </cell>
          <cell r="I51" t="str">
            <v>Unitária</v>
          </cell>
          <cell r="J51" t="str">
            <v>Participação</v>
          </cell>
          <cell r="K51" t="str">
            <v>Conversão</v>
          </cell>
          <cell r="L51" t="str">
            <v>Perda</v>
          </cell>
          <cell r="M51" t="str">
            <v>Total</v>
          </cell>
          <cell r="O51" t="str">
            <v>Fixo</v>
          </cell>
          <cell r="P51" t="str">
            <v>Variavel</v>
          </cell>
          <cell r="Q51" t="str">
            <v>Unitário</v>
          </cell>
          <cell r="R51" t="str">
            <v>Total</v>
          </cell>
        </row>
        <row r="53">
          <cell r="B53" t="str">
            <v>1.1</v>
          </cell>
          <cell r="C53" t="str">
            <v>Pintura faixa-tinta b.acrílica emuls. água - 1 ano</v>
          </cell>
          <cell r="F53">
            <v>38687</v>
          </cell>
          <cell r="G53" t="str">
            <v>m2</v>
          </cell>
          <cell r="I53">
            <v>1</v>
          </cell>
          <cell r="J53">
            <v>0.7</v>
          </cell>
          <cell r="K53">
            <v>1</v>
          </cell>
          <cell r="L53">
            <v>1</v>
          </cell>
          <cell r="M53">
            <v>0.7</v>
          </cell>
          <cell r="P53" t="str">
            <v/>
          </cell>
          <cell r="Q53">
            <v>9.6045197740112993</v>
          </cell>
          <cell r="R53">
            <v>6.72</v>
          </cell>
        </row>
        <row r="54">
          <cell r="B54" t="str">
            <v>1.2</v>
          </cell>
          <cell r="C54" t="str">
            <v>Pint. setas/zebrado-tinta b.acríl. emuls. água-1a.</v>
          </cell>
          <cell r="F54">
            <v>38687</v>
          </cell>
          <cell r="G54" t="str">
            <v>m2</v>
          </cell>
          <cell r="I54">
            <v>1</v>
          </cell>
          <cell r="J54">
            <v>0.3</v>
          </cell>
          <cell r="K54">
            <v>1</v>
          </cell>
          <cell r="L54">
            <v>1</v>
          </cell>
          <cell r="M54">
            <v>0.3</v>
          </cell>
          <cell r="P54" t="str">
            <v/>
          </cell>
          <cell r="Q54">
            <v>13.56739305891848</v>
          </cell>
          <cell r="R54">
            <v>4.07</v>
          </cell>
        </row>
        <row r="55">
          <cell r="B55" t="str">
            <v>1.3</v>
          </cell>
          <cell r="C55" t="str">
            <v>Limpeza da Superfície</v>
          </cell>
          <cell r="F55">
            <v>38687</v>
          </cell>
          <cell r="G55" t="str">
            <v>m</v>
          </cell>
          <cell r="I55">
            <v>1</v>
          </cell>
          <cell r="J55">
            <v>1</v>
          </cell>
          <cell r="K55">
            <v>2.14</v>
          </cell>
          <cell r="L55">
            <v>1</v>
          </cell>
          <cell r="M55">
            <v>2.14</v>
          </cell>
          <cell r="P55" t="str">
            <v/>
          </cell>
          <cell r="Q55">
            <v>0.17756255044390637</v>
          </cell>
          <cell r="R55">
            <v>0.38</v>
          </cell>
        </row>
        <row r="66">
          <cell r="C66" t="str">
            <v>Sinalização Provisória / Equipe de Tráfego</v>
          </cell>
          <cell r="M66">
            <v>0.02</v>
          </cell>
          <cell r="Q66">
            <v>11.17</v>
          </cell>
          <cell r="R66">
            <v>0.22</v>
          </cell>
        </row>
        <row r="69">
          <cell r="B69" t="str">
            <v>Sub - Total</v>
          </cell>
          <cell r="R69">
            <v>11.39</v>
          </cell>
        </row>
        <row r="70">
          <cell r="B70" t="str">
            <v>Contingências devido tipo contrato - preço unitário / preço global</v>
          </cell>
          <cell r="Q70">
            <v>0</v>
          </cell>
          <cell r="R70">
            <v>0</v>
          </cell>
        </row>
        <row r="71">
          <cell r="B71" t="str">
            <v>DI</v>
          </cell>
          <cell r="Q71">
            <v>0.16699999999999998</v>
          </cell>
          <cell r="R71">
            <v>1.9</v>
          </cell>
        </row>
        <row r="72">
          <cell r="B72" t="str">
            <v xml:space="preserve">Preço Unitário </v>
          </cell>
          <cell r="R72">
            <v>13.29</v>
          </cell>
        </row>
        <row r="73">
          <cell r="B73" t="str">
            <v xml:space="preserve">Preço Unitário </v>
          </cell>
          <cell r="R73">
            <v>13.29</v>
          </cell>
        </row>
        <row r="76">
          <cell r="B76" t="str">
            <v>Obs.</v>
          </cell>
        </row>
        <row r="78">
          <cell r="C78" t="str">
            <v>( 1 ) Adotado similar a "Limpeza de Sarjeta e Meio Fio" ( código 3.S.08.300.01 )</v>
          </cell>
        </row>
        <row r="89">
          <cell r="B89" t="str">
            <v>1.5.1.2</v>
          </cell>
          <cell r="C89" t="str">
            <v>Titulo do Preço Composto</v>
          </cell>
          <cell r="E89" t="str">
            <v>Tacha Refetiva Bidirecional</v>
          </cell>
          <cell r="Q89" t="str">
            <v>Unidade</v>
          </cell>
          <cell r="R89" t="str">
            <v>un</v>
          </cell>
          <cell r="T89">
            <v>11.509502179176753</v>
          </cell>
          <cell r="U89">
            <v>11.509502179176753</v>
          </cell>
        </row>
        <row r="91">
          <cell r="B91" t="str">
            <v>Item</v>
          </cell>
          <cell r="C91" t="str">
            <v>Descrição</v>
          </cell>
          <cell r="F91" t="str">
            <v>Data Ref.</v>
          </cell>
          <cell r="G91" t="str">
            <v>Unidade</v>
          </cell>
          <cell r="H91" t="str">
            <v>Espessura</v>
          </cell>
          <cell r="I91" t="str">
            <v>Quantidade</v>
          </cell>
          <cell r="N91" t="str">
            <v>DTM</v>
          </cell>
          <cell r="O91" t="str">
            <v>Transporte</v>
          </cell>
          <cell r="Q91" t="str">
            <v>Preço</v>
          </cell>
        </row>
        <row r="92">
          <cell r="F92" t="str">
            <v>Data Ref.</v>
          </cell>
          <cell r="I92" t="str">
            <v>Unitária</v>
          </cell>
          <cell r="J92" t="str">
            <v>Participação</v>
          </cell>
          <cell r="K92" t="str">
            <v>Conversão</v>
          </cell>
          <cell r="L92" t="str">
            <v>Perda</v>
          </cell>
          <cell r="M92" t="str">
            <v>Total</v>
          </cell>
          <cell r="O92" t="str">
            <v>Fixo</v>
          </cell>
          <cell r="P92" t="str">
            <v>Variavel</v>
          </cell>
          <cell r="Q92" t="str">
            <v>Unitário</v>
          </cell>
          <cell r="R92" t="str">
            <v>Total</v>
          </cell>
        </row>
        <row r="94">
          <cell r="B94" t="str">
            <v>1.1</v>
          </cell>
          <cell r="C94" t="str">
            <v>Tacha refetiva bidirecional  - fornec. e coloc.</v>
          </cell>
          <cell r="F94">
            <v>38687</v>
          </cell>
          <cell r="G94" t="str">
            <v>und</v>
          </cell>
          <cell r="I94">
            <v>1</v>
          </cell>
          <cell r="J94">
            <v>1</v>
          </cell>
          <cell r="K94">
            <v>1</v>
          </cell>
          <cell r="L94">
            <v>1</v>
          </cell>
          <cell r="M94">
            <v>1</v>
          </cell>
          <cell r="P94" t="str">
            <v/>
          </cell>
          <cell r="Q94">
            <v>9.6690879741727187</v>
          </cell>
          <cell r="R94">
            <v>9.6690879741727187</v>
          </cell>
        </row>
        <row r="107">
          <cell r="C107" t="str">
            <v>Sinalização Provisória / Equipe de Tráfego</v>
          </cell>
          <cell r="M107">
            <v>0.02</v>
          </cell>
          <cell r="Q107">
            <v>9.6690879741727187</v>
          </cell>
          <cell r="R107">
            <v>0.19338175948345437</v>
          </cell>
        </row>
        <row r="110">
          <cell r="B110" t="str">
            <v>Sub - Total</v>
          </cell>
          <cell r="R110">
            <v>9.8624697336561731</v>
          </cell>
        </row>
        <row r="111">
          <cell r="B111" t="str">
            <v>Contingências devido tipo contrato - preço unitário / preço global</v>
          </cell>
          <cell r="Q111">
            <v>0</v>
          </cell>
          <cell r="R111">
            <v>0</v>
          </cell>
        </row>
        <row r="112">
          <cell r="B112" t="str">
            <v>DI</v>
          </cell>
          <cell r="Q112">
            <v>0.16699999999999998</v>
          </cell>
          <cell r="R112">
            <v>1.6470324455205807</v>
          </cell>
        </row>
        <row r="113">
          <cell r="B113" t="str">
            <v xml:space="preserve">Preço Unitário </v>
          </cell>
          <cell r="R113">
            <v>11.509502179176753</v>
          </cell>
        </row>
        <row r="114">
          <cell r="B114" t="str">
            <v xml:space="preserve">Preço Unitário </v>
          </cell>
          <cell r="R114">
            <v>11.509502179176753</v>
          </cell>
        </row>
        <row r="117">
          <cell r="B117" t="str">
            <v>Obs.</v>
          </cell>
        </row>
        <row r="130">
          <cell r="B130" t="str">
            <v>1.5.1.3</v>
          </cell>
          <cell r="C130" t="str">
            <v>Titulo do Preço Composto</v>
          </cell>
          <cell r="E130" t="str">
            <v>Tacha Refetiva Monodirecional</v>
          </cell>
          <cell r="Q130" t="str">
            <v>Unidade</v>
          </cell>
          <cell r="R130" t="str">
            <v>un</v>
          </cell>
          <cell r="T130">
            <v>10.318201452784502</v>
          </cell>
          <cell r="U130">
            <v>10.318201452784502</v>
          </cell>
        </row>
        <row r="132">
          <cell r="B132" t="str">
            <v>Item</v>
          </cell>
          <cell r="C132" t="str">
            <v>Descrição</v>
          </cell>
          <cell r="F132" t="str">
            <v>Data Ref.</v>
          </cell>
          <cell r="G132" t="str">
            <v>Unidade</v>
          </cell>
          <cell r="H132" t="str">
            <v>Espessura</v>
          </cell>
          <cell r="I132" t="str">
            <v>Quantidade</v>
          </cell>
          <cell r="N132" t="str">
            <v>DTM</v>
          </cell>
          <cell r="O132" t="str">
            <v>Transporte</v>
          </cell>
          <cell r="Q132" t="str">
            <v>Preço</v>
          </cell>
        </row>
        <row r="133">
          <cell r="F133" t="str">
            <v>Data Ref.</v>
          </cell>
          <cell r="I133" t="str">
            <v>Unitária</v>
          </cell>
          <cell r="J133" t="str">
            <v>Participação</v>
          </cell>
          <cell r="K133" t="str">
            <v>Conversão</v>
          </cell>
          <cell r="L133" t="str">
            <v>Perda</v>
          </cell>
          <cell r="M133" t="str">
            <v>Total</v>
          </cell>
          <cell r="O133" t="str">
            <v>Fixo</v>
          </cell>
          <cell r="P133" t="str">
            <v>Variavel</v>
          </cell>
          <cell r="Q133" t="str">
            <v>Unitário</v>
          </cell>
          <cell r="R133" t="str">
            <v>Total</v>
          </cell>
        </row>
        <row r="135">
          <cell r="B135" t="str">
            <v>1.1</v>
          </cell>
          <cell r="C135" t="str">
            <v>Tacha refetiva monodirecional - fornec. e coloc.</v>
          </cell>
          <cell r="F135">
            <v>38687</v>
          </cell>
          <cell r="G135" t="str">
            <v>und</v>
          </cell>
          <cell r="I135">
            <v>1</v>
          </cell>
          <cell r="J135">
            <v>1</v>
          </cell>
          <cell r="K135">
            <v>1</v>
          </cell>
          <cell r="L135">
            <v>1</v>
          </cell>
          <cell r="M135">
            <v>1</v>
          </cell>
          <cell r="P135" t="str">
            <v/>
          </cell>
          <cell r="Q135">
            <v>8.6682808716707012</v>
          </cell>
          <cell r="R135">
            <v>8.6682808716707012</v>
          </cell>
        </row>
        <row r="148">
          <cell r="C148" t="str">
            <v>Sinalização Provisória / Equipe de Tráfego</v>
          </cell>
          <cell r="M148">
            <v>0.02</v>
          </cell>
          <cell r="Q148">
            <v>8.6682808716707012</v>
          </cell>
          <cell r="R148">
            <v>0.17336561743341403</v>
          </cell>
        </row>
        <row r="151">
          <cell r="B151" t="str">
            <v>Sub - Total</v>
          </cell>
          <cell r="R151">
            <v>8.8416464891041144</v>
          </cell>
        </row>
        <row r="152">
          <cell r="B152" t="str">
            <v>Contingências devido tipo contrato - preço unitário / preço global</v>
          </cell>
          <cell r="Q152">
            <v>0</v>
          </cell>
          <cell r="R152">
            <v>0</v>
          </cell>
        </row>
        <row r="153">
          <cell r="B153" t="str">
            <v>DI</v>
          </cell>
          <cell r="Q153">
            <v>0.16699999999999998</v>
          </cell>
          <cell r="R153">
            <v>1.476554963680387</v>
          </cell>
        </row>
        <row r="154">
          <cell r="B154" t="str">
            <v xml:space="preserve">Preço Unitário </v>
          </cell>
          <cell r="R154">
            <v>10.318201452784502</v>
          </cell>
        </row>
        <row r="155">
          <cell r="B155" t="str">
            <v xml:space="preserve">Preço Unitário </v>
          </cell>
          <cell r="R155">
            <v>10.318201452784502</v>
          </cell>
        </row>
        <row r="158">
          <cell r="B158" t="str">
            <v>Obs.</v>
          </cell>
        </row>
        <row r="171">
          <cell r="B171" t="str">
            <v>1.5.1.4</v>
          </cell>
          <cell r="C171" t="str">
            <v>Titulo do Preço Composto</v>
          </cell>
          <cell r="E171" t="str">
            <v>Tachão</v>
          </cell>
          <cell r="Q171" t="str">
            <v>Unidade</v>
          </cell>
          <cell r="R171" t="str">
            <v>un</v>
          </cell>
          <cell r="T171">
            <v>22.042906343825663</v>
          </cell>
          <cell r="U171">
            <v>22.042906343825663</v>
          </cell>
        </row>
        <row r="173">
          <cell r="B173" t="str">
            <v>Item</v>
          </cell>
          <cell r="C173" t="str">
            <v>Descrição</v>
          </cell>
          <cell r="F173" t="str">
            <v>Data Ref.</v>
          </cell>
          <cell r="G173" t="str">
            <v>Unidade</v>
          </cell>
          <cell r="H173" t="str">
            <v>Espessura</v>
          </cell>
          <cell r="I173" t="str">
            <v>Quantidade</v>
          </cell>
          <cell r="N173" t="str">
            <v>DTM</v>
          </cell>
          <cell r="O173" t="str">
            <v>Transporte</v>
          </cell>
          <cell r="Q173" t="str">
            <v>Preço</v>
          </cell>
        </row>
        <row r="174">
          <cell r="F174" t="str">
            <v>Data Ref.</v>
          </cell>
          <cell r="I174" t="str">
            <v>Unitária</v>
          </cell>
          <cell r="J174" t="str">
            <v>Participação</v>
          </cell>
          <cell r="K174" t="str">
            <v>Conversão</v>
          </cell>
          <cell r="L174" t="str">
            <v>Perda</v>
          </cell>
          <cell r="M174" t="str">
            <v>Total</v>
          </cell>
          <cell r="O174" t="str">
            <v>Fixo</v>
          </cell>
          <cell r="P174" t="str">
            <v>Variavel</v>
          </cell>
          <cell r="Q174" t="str">
            <v>Unitário</v>
          </cell>
          <cell r="R174" t="str">
            <v>Total</v>
          </cell>
        </row>
        <row r="176">
          <cell r="B176" t="str">
            <v>1.1</v>
          </cell>
          <cell r="C176" t="str">
            <v>Tachão refletivo monodirecional - fornec. e coloc.</v>
          </cell>
          <cell r="F176">
            <v>38687</v>
          </cell>
          <cell r="G176" t="str">
            <v>und</v>
          </cell>
          <cell r="I176">
            <v>1</v>
          </cell>
          <cell r="J176">
            <v>0.4</v>
          </cell>
          <cell r="K176">
            <v>1</v>
          </cell>
          <cell r="L176">
            <v>1</v>
          </cell>
          <cell r="M176">
            <v>0.4</v>
          </cell>
          <cell r="P176" t="str">
            <v/>
          </cell>
          <cell r="Q176">
            <v>17.917675544794186</v>
          </cell>
          <cell r="R176">
            <v>7.1670702179176748</v>
          </cell>
        </row>
        <row r="177">
          <cell r="B177" t="str">
            <v>1.2</v>
          </cell>
          <cell r="C177" t="str">
            <v>Tachão Refletivo Bidirecional - fornec. e coloc.</v>
          </cell>
          <cell r="F177">
            <v>38687</v>
          </cell>
          <cell r="G177" t="str">
            <v>und</v>
          </cell>
          <cell r="I177">
            <v>1</v>
          </cell>
          <cell r="J177">
            <v>0.6</v>
          </cell>
          <cell r="K177">
            <v>1</v>
          </cell>
          <cell r="L177">
            <v>1</v>
          </cell>
          <cell r="M177">
            <v>0.6</v>
          </cell>
          <cell r="P177" t="str">
            <v/>
          </cell>
          <cell r="Q177">
            <v>18.918482647296205</v>
          </cell>
          <cell r="R177">
            <v>11.351089588377723</v>
          </cell>
        </row>
        <row r="189">
          <cell r="C189" t="str">
            <v>Sinalização Provisória / Equipe de Tráfego</v>
          </cell>
          <cell r="M189">
            <v>0.02</v>
          </cell>
          <cell r="Q189">
            <v>18.518159806295397</v>
          </cell>
          <cell r="R189">
            <v>0.37036319612590796</v>
          </cell>
        </row>
        <row r="192">
          <cell r="B192" t="str">
            <v>Sub - Total</v>
          </cell>
          <cell r="R192">
            <v>18.888523002421305</v>
          </cell>
        </row>
        <row r="193">
          <cell r="B193" t="str">
            <v>Contingências devido tipo contrato - preço unitário / preço global</v>
          </cell>
          <cell r="Q193">
            <v>0</v>
          </cell>
          <cell r="R193">
            <v>0</v>
          </cell>
        </row>
        <row r="194">
          <cell r="B194" t="str">
            <v>DI</v>
          </cell>
          <cell r="Q194">
            <v>0.16699999999999998</v>
          </cell>
          <cell r="R194">
            <v>3.1543833414043574</v>
          </cell>
        </row>
        <row r="195">
          <cell r="B195" t="str">
            <v xml:space="preserve">Preço Unitário </v>
          </cell>
          <cell r="R195">
            <v>22.042906343825663</v>
          </cell>
        </row>
        <row r="196">
          <cell r="B196" t="str">
            <v xml:space="preserve">Preço Unitário </v>
          </cell>
          <cell r="R196">
            <v>22.042906343825663</v>
          </cell>
        </row>
        <row r="199">
          <cell r="B199" t="str">
            <v>Obs.</v>
          </cell>
        </row>
        <row r="212">
          <cell r="B212" t="str">
            <v>1.5.2.2</v>
          </cell>
          <cell r="C212" t="str">
            <v>Titulo do Preço Composto</v>
          </cell>
          <cell r="E212" t="str">
            <v>Reposição de Placa</v>
          </cell>
          <cell r="Q212" t="str">
            <v>Unidade</v>
          </cell>
          <cell r="R212" t="str">
            <v>m2</v>
          </cell>
          <cell r="T212">
            <v>467.07983510895889</v>
          </cell>
          <cell r="U212">
            <v>467.07983510895889</v>
          </cell>
        </row>
        <row r="214">
          <cell r="B214" t="str">
            <v>Item</v>
          </cell>
          <cell r="C214" t="str">
            <v>Descrição</v>
          </cell>
          <cell r="F214" t="str">
            <v>Data Ref.</v>
          </cell>
          <cell r="G214" t="str">
            <v>Unidade</v>
          </cell>
          <cell r="H214" t="str">
            <v>Espessura</v>
          </cell>
          <cell r="I214" t="str">
            <v>Quantidade</v>
          </cell>
          <cell r="N214" t="str">
            <v>DTM</v>
          </cell>
          <cell r="O214" t="str">
            <v>Transporte</v>
          </cell>
          <cell r="Q214" t="str">
            <v>Preço</v>
          </cell>
        </row>
        <row r="215">
          <cell r="F215" t="str">
            <v>Data Ref.</v>
          </cell>
          <cell r="I215" t="str">
            <v>Unitária</v>
          </cell>
          <cell r="J215" t="str">
            <v>Participação</v>
          </cell>
          <cell r="K215" t="str">
            <v>Conversão</v>
          </cell>
          <cell r="L215" t="str">
            <v>Perda</v>
          </cell>
          <cell r="M215" t="str">
            <v>Total</v>
          </cell>
          <cell r="O215" t="str">
            <v>Fixo</v>
          </cell>
          <cell r="P215" t="str">
            <v>Variavel</v>
          </cell>
          <cell r="Q215" t="str">
            <v>Unitário</v>
          </cell>
          <cell r="R215" t="str">
            <v>Total</v>
          </cell>
        </row>
        <row r="217">
          <cell r="B217" t="str">
            <v>1.1</v>
          </cell>
          <cell r="C217" t="str">
            <v>Portico Metálico</v>
          </cell>
          <cell r="F217">
            <v>38687</v>
          </cell>
          <cell r="G217" t="str">
            <v>und</v>
          </cell>
          <cell r="I217">
            <v>0</v>
          </cell>
          <cell r="J217">
            <v>1E-3</v>
          </cell>
          <cell r="K217">
            <v>1</v>
          </cell>
          <cell r="L217">
            <v>1</v>
          </cell>
          <cell r="M217">
            <v>0</v>
          </cell>
          <cell r="P217" t="str">
            <v/>
          </cell>
          <cell r="Q217">
            <v>29155.423728813555</v>
          </cell>
          <cell r="R217">
            <v>0</v>
          </cell>
        </row>
        <row r="218">
          <cell r="B218" t="str">
            <v>1.1</v>
          </cell>
          <cell r="C218" t="str">
            <v xml:space="preserve">Placa sinalização tot.refletiva - forn/impl. </v>
          </cell>
          <cell r="F218">
            <v>38687</v>
          </cell>
          <cell r="G218" t="str">
            <v>m2</v>
          </cell>
          <cell r="I218">
            <v>1</v>
          </cell>
          <cell r="J218">
            <v>0.8</v>
          </cell>
          <cell r="K218">
            <v>1</v>
          </cell>
          <cell r="L218">
            <v>1</v>
          </cell>
          <cell r="M218">
            <v>1</v>
          </cell>
          <cell r="P218" t="str">
            <v/>
          </cell>
          <cell r="Q218">
            <v>388.8</v>
          </cell>
          <cell r="R218">
            <v>388.8</v>
          </cell>
        </row>
        <row r="219">
          <cell r="B219" t="str">
            <v>1.2</v>
          </cell>
          <cell r="C219" t="str">
            <v>Confecção de Suporte e Travessa p/placa sinal.</v>
          </cell>
          <cell r="F219">
            <v>38687</v>
          </cell>
          <cell r="G219" t="str">
            <v>und</v>
          </cell>
          <cell r="I219">
            <v>1</v>
          </cell>
          <cell r="J219">
            <v>0.8</v>
          </cell>
          <cell r="K219">
            <v>1</v>
          </cell>
          <cell r="L219">
            <v>1</v>
          </cell>
          <cell r="M219">
            <v>0.5</v>
          </cell>
          <cell r="P219" t="str">
            <v/>
          </cell>
          <cell r="Q219">
            <v>19.305891848264729</v>
          </cell>
          <cell r="R219">
            <v>9.6529459241323643</v>
          </cell>
        </row>
        <row r="220">
          <cell r="B220" t="str">
            <v>1.4</v>
          </cell>
          <cell r="C220" t="str">
            <v>Transporte em Caminhão Carroceria c/ guind.</v>
          </cell>
          <cell r="F220">
            <v>38687</v>
          </cell>
          <cell r="G220" t="str">
            <v>tkm</v>
          </cell>
          <cell r="I220">
            <v>0</v>
          </cell>
          <cell r="J220">
            <v>0.03</v>
          </cell>
          <cell r="K220">
            <v>1</v>
          </cell>
          <cell r="L220">
            <v>1</v>
          </cell>
          <cell r="M220">
            <v>0</v>
          </cell>
          <cell r="N220">
            <v>50</v>
          </cell>
          <cell r="P220">
            <v>0.68</v>
          </cell>
          <cell r="Q220">
            <v>34</v>
          </cell>
          <cell r="R220">
            <v>0</v>
          </cell>
        </row>
        <row r="221">
          <cell r="B221" t="str">
            <v>1.3</v>
          </cell>
          <cell r="C221" t="str">
            <v>Escavação Manual</v>
          </cell>
          <cell r="F221">
            <v>38687</v>
          </cell>
          <cell r="G221" t="str">
            <v>m3</v>
          </cell>
          <cell r="I221">
            <v>1</v>
          </cell>
          <cell r="J221">
            <v>0.01</v>
          </cell>
          <cell r="K221">
            <v>1</v>
          </cell>
          <cell r="L221">
            <v>1</v>
          </cell>
          <cell r="M221">
            <v>0.01</v>
          </cell>
          <cell r="P221" t="str">
            <v/>
          </cell>
          <cell r="Q221">
            <v>16.029055690072639</v>
          </cell>
          <cell r="R221">
            <v>0.16029055690072641</v>
          </cell>
        </row>
        <row r="222">
          <cell r="B222" t="str">
            <v>1.4</v>
          </cell>
          <cell r="C222" t="str">
            <v>Concreto - AC e BC</v>
          </cell>
          <cell r="F222">
            <v>38687</v>
          </cell>
          <cell r="G222" t="str">
            <v>m3</v>
          </cell>
          <cell r="I222">
            <v>1</v>
          </cell>
          <cell r="J222">
            <v>0.01</v>
          </cell>
          <cell r="K222">
            <v>1</v>
          </cell>
          <cell r="L222">
            <v>1</v>
          </cell>
          <cell r="M222">
            <v>0.01</v>
          </cell>
          <cell r="P222" t="str">
            <v/>
          </cell>
          <cell r="Q222">
            <v>162.65536723163839</v>
          </cell>
          <cell r="R222">
            <v>1.6265536723163843</v>
          </cell>
        </row>
        <row r="233">
          <cell r="B233" t="str">
            <v>Sub - Total</v>
          </cell>
          <cell r="R233">
            <v>400.23979015334953</v>
          </cell>
        </row>
        <row r="234">
          <cell r="B234" t="str">
            <v>Contingências devido tipo contrato - preço unitário / preço global</v>
          </cell>
          <cell r="Q234">
            <v>0</v>
          </cell>
          <cell r="R234">
            <v>0</v>
          </cell>
        </row>
        <row r="235">
          <cell r="B235" t="str">
            <v>DI</v>
          </cell>
          <cell r="Q235">
            <v>0.16699999999999998</v>
          </cell>
          <cell r="R235">
            <v>66.840044955609358</v>
          </cell>
        </row>
        <row r="236">
          <cell r="B236" t="str">
            <v xml:space="preserve">Preço Unitário </v>
          </cell>
          <cell r="R236">
            <v>467.07983510895889</v>
          </cell>
        </row>
        <row r="237">
          <cell r="B237" t="str">
            <v xml:space="preserve">Preço Unitário </v>
          </cell>
          <cell r="R237">
            <v>467.07983510895889</v>
          </cell>
        </row>
        <row r="240">
          <cell r="B240" t="str">
            <v>Obs.</v>
          </cell>
        </row>
        <row r="253">
          <cell r="B253" t="str">
            <v>1.5.2.3</v>
          </cell>
          <cell r="C253" t="str">
            <v>Titulo do Preço Composto</v>
          </cell>
          <cell r="E253" t="str">
            <v>Recuperação de Placa</v>
          </cell>
          <cell r="Q253" t="str">
            <v>Unidade</v>
          </cell>
          <cell r="R253" t="str">
            <v>m2</v>
          </cell>
          <cell r="T253">
            <v>333.7336679903147</v>
          </cell>
          <cell r="U253">
            <v>333.7336679903147</v>
          </cell>
        </row>
        <row r="255">
          <cell r="B255" t="str">
            <v>Item</v>
          </cell>
          <cell r="C255" t="str">
            <v>Descrição</v>
          </cell>
          <cell r="F255" t="str">
            <v>Data Ref.</v>
          </cell>
          <cell r="G255" t="str">
            <v>Unidade</v>
          </cell>
          <cell r="H255" t="str">
            <v>Espessura</v>
          </cell>
          <cell r="I255" t="str">
            <v>Quantidade</v>
          </cell>
          <cell r="N255" t="str">
            <v>DTM</v>
          </cell>
          <cell r="O255" t="str">
            <v>Transporte</v>
          </cell>
          <cell r="Q255" t="str">
            <v>Preço</v>
          </cell>
        </row>
        <row r="256">
          <cell r="F256" t="str">
            <v>Data Ref.</v>
          </cell>
          <cell r="I256" t="str">
            <v>Unitária</v>
          </cell>
          <cell r="J256" t="str">
            <v>Participação</v>
          </cell>
          <cell r="K256" t="str">
            <v>Conversão</v>
          </cell>
          <cell r="L256" t="str">
            <v>Perda</v>
          </cell>
          <cell r="M256" t="str">
            <v>Total</v>
          </cell>
          <cell r="O256" t="str">
            <v>Fixo</v>
          </cell>
          <cell r="P256" t="str">
            <v>Variavel</v>
          </cell>
          <cell r="Q256" t="str">
            <v>Unitário</v>
          </cell>
          <cell r="R256" t="str">
            <v>Total</v>
          </cell>
        </row>
        <row r="258">
          <cell r="B258" t="str">
            <v>1.1</v>
          </cell>
          <cell r="C258" t="str">
            <v>Remoção de placa existente</v>
          </cell>
          <cell r="F258">
            <v>38687</v>
          </cell>
          <cell r="G258" t="str">
            <v>m2</v>
          </cell>
          <cell r="I258">
            <v>1</v>
          </cell>
          <cell r="J258">
            <v>1</v>
          </cell>
          <cell r="K258">
            <v>1</v>
          </cell>
          <cell r="L258">
            <v>1</v>
          </cell>
          <cell r="M258">
            <v>1</v>
          </cell>
          <cell r="P258" t="str">
            <v/>
          </cell>
          <cell r="Q258">
            <v>10.984665052461661</v>
          </cell>
          <cell r="R258">
            <v>10.984665052461661</v>
          </cell>
        </row>
        <row r="259">
          <cell r="B259" t="str">
            <v>1.2</v>
          </cell>
          <cell r="C259" t="str">
            <v>Recuperação de chapa p/ placa de sinalização</v>
          </cell>
          <cell r="F259">
            <v>38687</v>
          </cell>
          <cell r="G259" t="str">
            <v>m2</v>
          </cell>
          <cell r="I259">
            <v>1</v>
          </cell>
          <cell r="J259">
            <v>1</v>
          </cell>
          <cell r="K259">
            <v>1</v>
          </cell>
          <cell r="L259">
            <v>1</v>
          </cell>
          <cell r="M259">
            <v>1</v>
          </cell>
          <cell r="P259" t="str">
            <v/>
          </cell>
          <cell r="Q259">
            <v>19.604519774011298</v>
          </cell>
          <cell r="R259">
            <v>19.604519774011298</v>
          </cell>
        </row>
        <row r="260">
          <cell r="B260" t="str">
            <v>1.3</v>
          </cell>
          <cell r="C260" t="str">
            <v>Limpeza de Placa de Sinalização ( 2 )</v>
          </cell>
          <cell r="F260">
            <v>38687</v>
          </cell>
          <cell r="G260" t="str">
            <v>m2</v>
          </cell>
          <cell r="I260">
            <v>1</v>
          </cell>
          <cell r="J260">
            <v>1</v>
          </cell>
          <cell r="K260">
            <v>1</v>
          </cell>
          <cell r="L260">
            <v>1</v>
          </cell>
          <cell r="M260">
            <v>1</v>
          </cell>
          <cell r="P260" t="str">
            <v/>
          </cell>
          <cell r="Q260">
            <v>2.8006456820016141</v>
          </cell>
          <cell r="R260">
            <v>2.8006456820016141</v>
          </cell>
        </row>
        <row r="261">
          <cell r="B261" t="str">
            <v>1.4</v>
          </cell>
          <cell r="C261" t="str">
            <v>Confecção de placa de sinalização</v>
          </cell>
          <cell r="F261">
            <v>38687</v>
          </cell>
          <cell r="G261" t="str">
            <v>m2</v>
          </cell>
          <cell r="I261">
            <v>1</v>
          </cell>
          <cell r="J261">
            <v>1</v>
          </cell>
          <cell r="K261">
            <v>1</v>
          </cell>
          <cell r="L261">
            <v>1</v>
          </cell>
          <cell r="M261">
            <v>0.6</v>
          </cell>
          <cell r="P261" t="str">
            <v/>
          </cell>
          <cell r="Q261">
            <v>388.8</v>
          </cell>
          <cell r="R261">
            <v>233.28</v>
          </cell>
        </row>
        <row r="262">
          <cell r="B262" t="str">
            <v>1.5</v>
          </cell>
          <cell r="C262" t="str">
            <v>Confexão suporte e travessa</v>
          </cell>
          <cell r="F262">
            <v>38687</v>
          </cell>
          <cell r="G262" t="str">
            <v>unid</v>
          </cell>
          <cell r="I262">
            <v>1</v>
          </cell>
          <cell r="J262">
            <v>1</v>
          </cell>
          <cell r="K262">
            <v>1</v>
          </cell>
          <cell r="L262">
            <v>1</v>
          </cell>
          <cell r="M262">
            <v>1</v>
          </cell>
          <cell r="Q262">
            <v>19.305891848264729</v>
          </cell>
          <cell r="R262">
            <v>19.305891848264729</v>
          </cell>
        </row>
        <row r="263">
          <cell r="B263" t="str">
            <v>1.6</v>
          </cell>
          <cell r="C263" t="str">
            <v>Transporte em Caminhão Carroceria de 4 t</v>
          </cell>
          <cell r="F263">
            <v>38687</v>
          </cell>
          <cell r="G263" t="str">
            <v>tkm</v>
          </cell>
          <cell r="I263">
            <v>0</v>
          </cell>
          <cell r="J263">
            <v>0.03</v>
          </cell>
          <cell r="K263">
            <v>1</v>
          </cell>
          <cell r="L263">
            <v>1</v>
          </cell>
          <cell r="M263">
            <v>0</v>
          </cell>
          <cell r="N263">
            <v>50</v>
          </cell>
          <cell r="P263">
            <v>0.56497175141242928</v>
          </cell>
          <cell r="Q263">
            <v>28.248587570621464</v>
          </cell>
          <cell r="R263">
            <v>0</v>
          </cell>
        </row>
        <row r="274">
          <cell r="B274" t="str">
            <v>Sub - Total</v>
          </cell>
          <cell r="R274">
            <v>285.97572235673925</v>
          </cell>
        </row>
        <row r="275">
          <cell r="B275" t="str">
            <v>Contingências devido tipo contrato - preço unitário / preço global</v>
          </cell>
          <cell r="Q275">
            <v>0</v>
          </cell>
          <cell r="R275">
            <v>0</v>
          </cell>
        </row>
        <row r="276">
          <cell r="B276" t="str">
            <v>DI</v>
          </cell>
          <cell r="Q276">
            <v>0.16699999999999998</v>
          </cell>
          <cell r="R276">
            <v>47.757945633575453</v>
          </cell>
        </row>
        <row r="277">
          <cell r="B277" t="str">
            <v xml:space="preserve">Preço Unitário </v>
          </cell>
          <cell r="R277">
            <v>333.7336679903147</v>
          </cell>
        </row>
        <row r="278">
          <cell r="B278" t="str">
            <v xml:space="preserve">Preço Unitário </v>
          </cell>
          <cell r="R278">
            <v>333.7336679903147</v>
          </cell>
        </row>
        <row r="281">
          <cell r="B281" t="str">
            <v>Obs.</v>
          </cell>
        </row>
        <row r="294">
          <cell r="B294" t="str">
            <v>1.5.2.4</v>
          </cell>
          <cell r="C294" t="str">
            <v>Titulo do Preço Composto</v>
          </cell>
          <cell r="E294" t="str">
            <v>Reposição de Marco Quilométrico</v>
          </cell>
          <cell r="Q294" t="str">
            <v>Unidade</v>
          </cell>
          <cell r="R294" t="str">
            <v>un</v>
          </cell>
          <cell r="T294">
            <v>176.61463900242134</v>
          </cell>
          <cell r="U294">
            <v>176.61463900242134</v>
          </cell>
        </row>
        <row r="296">
          <cell r="B296" t="str">
            <v>Item</v>
          </cell>
          <cell r="C296" t="str">
            <v>Descrição</v>
          </cell>
          <cell r="F296" t="str">
            <v>Data Ref.</v>
          </cell>
          <cell r="G296" t="str">
            <v>Unidade</v>
          </cell>
          <cell r="H296" t="str">
            <v>Espessura</v>
          </cell>
          <cell r="I296" t="str">
            <v>Quantidade</v>
          </cell>
          <cell r="N296" t="str">
            <v>DTM</v>
          </cell>
          <cell r="O296" t="str">
            <v>Transporte</v>
          </cell>
          <cell r="Q296" t="str">
            <v>Preço</v>
          </cell>
        </row>
        <row r="297">
          <cell r="F297" t="str">
            <v>Data Ref.</v>
          </cell>
          <cell r="I297" t="str">
            <v>Unitária</v>
          </cell>
          <cell r="J297" t="str">
            <v>Participação</v>
          </cell>
          <cell r="K297" t="str">
            <v>Conversão</v>
          </cell>
          <cell r="L297" t="str">
            <v>Perda</v>
          </cell>
          <cell r="M297" t="str">
            <v>Total</v>
          </cell>
          <cell r="O297" t="str">
            <v>Fixo</v>
          </cell>
          <cell r="P297" t="str">
            <v>Variavel</v>
          </cell>
          <cell r="Q297" t="str">
            <v>Unitário</v>
          </cell>
          <cell r="R297" t="str">
            <v>Total</v>
          </cell>
        </row>
        <row r="299">
          <cell r="B299" t="str">
            <v>1.1</v>
          </cell>
          <cell r="C299" t="str">
            <v>Placa sinalização tot.refletiva - forn/impl. - obs.(1)</v>
          </cell>
          <cell r="F299">
            <v>38687</v>
          </cell>
          <cell r="G299" t="str">
            <v>m2</v>
          </cell>
          <cell r="I299">
            <v>0.33500000000000002</v>
          </cell>
          <cell r="J299">
            <v>1</v>
          </cell>
          <cell r="K299">
            <v>1</v>
          </cell>
          <cell r="L299">
            <v>1</v>
          </cell>
          <cell r="M299">
            <v>0.33500000000000002</v>
          </cell>
          <cell r="P299" t="str">
            <v/>
          </cell>
          <cell r="Q299">
            <v>388.8</v>
          </cell>
          <cell r="R299">
            <v>130.24800000000002</v>
          </cell>
        </row>
        <row r="300">
          <cell r="B300" t="str">
            <v>1.2</v>
          </cell>
          <cell r="C300" t="str">
            <v>Confecção de Suporte e Travessa p/placa sinal.</v>
          </cell>
          <cell r="F300">
            <v>38687</v>
          </cell>
          <cell r="G300" t="str">
            <v>und</v>
          </cell>
          <cell r="I300">
            <v>1</v>
          </cell>
          <cell r="J300">
            <v>1</v>
          </cell>
          <cell r="K300">
            <v>1</v>
          </cell>
          <cell r="L300">
            <v>1</v>
          </cell>
          <cell r="M300">
            <v>1</v>
          </cell>
          <cell r="P300" t="str">
            <v/>
          </cell>
          <cell r="Q300">
            <v>19.305891848264729</v>
          </cell>
          <cell r="R300">
            <v>19.305891848264729</v>
          </cell>
        </row>
        <row r="301">
          <cell r="B301" t="str">
            <v>1.3</v>
          </cell>
          <cell r="C301" t="str">
            <v>Escavação Manual</v>
          </cell>
          <cell r="F301">
            <v>38687</v>
          </cell>
          <cell r="G301" t="str">
            <v>m3</v>
          </cell>
          <cell r="I301">
            <v>0.01</v>
          </cell>
          <cell r="J301">
            <v>1</v>
          </cell>
          <cell r="K301">
            <v>1</v>
          </cell>
          <cell r="L301">
            <v>1</v>
          </cell>
          <cell r="M301">
            <v>0.01</v>
          </cell>
          <cell r="P301" t="str">
            <v/>
          </cell>
          <cell r="Q301">
            <v>16.029055690072639</v>
          </cell>
          <cell r="R301">
            <v>0.16029055690072641</v>
          </cell>
        </row>
        <row r="302">
          <cell r="B302" t="str">
            <v>1.4</v>
          </cell>
          <cell r="C302" t="str">
            <v>Concreto - AC e BC</v>
          </cell>
          <cell r="F302">
            <v>38687</v>
          </cell>
          <cell r="G302" t="str">
            <v>m3</v>
          </cell>
          <cell r="I302">
            <v>0.01</v>
          </cell>
          <cell r="J302">
            <v>1</v>
          </cell>
          <cell r="K302">
            <v>1</v>
          </cell>
          <cell r="L302">
            <v>1</v>
          </cell>
          <cell r="M302">
            <v>0.01</v>
          </cell>
          <cell r="P302" t="str">
            <v/>
          </cell>
          <cell r="Q302">
            <v>162.65536723163839</v>
          </cell>
          <cell r="R302">
            <v>1.6265536723163843</v>
          </cell>
        </row>
        <row r="315">
          <cell r="B315" t="str">
            <v>Sub - Total</v>
          </cell>
          <cell r="R315">
            <v>151.34073607748186</v>
          </cell>
        </row>
        <row r="316">
          <cell r="B316" t="str">
            <v>Contingências devido tipo contrato - preço unitário / preço global</v>
          </cell>
          <cell r="Q316">
            <v>0</v>
          </cell>
          <cell r="R316">
            <v>0</v>
          </cell>
        </row>
        <row r="317">
          <cell r="B317" t="str">
            <v>DI</v>
          </cell>
          <cell r="Q317">
            <v>0.16699999999999998</v>
          </cell>
          <cell r="R317">
            <v>25.273902924939467</v>
          </cell>
        </row>
        <row r="318">
          <cell r="B318" t="str">
            <v xml:space="preserve">Preço Unitário </v>
          </cell>
          <cell r="R318">
            <v>176.61463900242134</v>
          </cell>
        </row>
        <row r="319">
          <cell r="B319" t="str">
            <v xml:space="preserve">Preço Unitário </v>
          </cell>
          <cell r="R319">
            <v>176.61463900242134</v>
          </cell>
        </row>
        <row r="322">
          <cell r="B322" t="str">
            <v>Obs.</v>
          </cell>
        </row>
        <row r="323">
          <cell r="C323" t="str">
            <v>( 1 )  Dimensão média da Placa</v>
          </cell>
          <cell r="E323">
            <v>0.5</v>
          </cell>
          <cell r="F323" t="str">
            <v>=</v>
          </cell>
          <cell r="G323">
            <v>0.33500000000000002</v>
          </cell>
          <cell r="H323" t="str">
            <v>m2</v>
          </cell>
        </row>
      </sheetData>
      <sheetData sheetId="6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remissas"/>
      <sheetName val="MO"/>
      <sheetName val="Eqpto"/>
      <sheetName val="Mat"/>
      <sheetName val="Planilha"/>
      <sheetName val="Auxiliares"/>
      <sheetName val="Memória"/>
      <sheetName val="Massa Mist. Pavimentação"/>
      <sheetName val="Tab_Apoio_Pav"/>
    </sheetNames>
    <sheetDataSet>
      <sheetData sheetId="0">
        <row r="13">
          <cell r="E13" t="str">
            <v>G</v>
          </cell>
          <cell r="F13">
            <v>0.245</v>
          </cell>
        </row>
        <row r="14">
          <cell r="E14" t="str">
            <v>D</v>
          </cell>
          <cell r="F14">
            <v>0.15</v>
          </cell>
        </row>
        <row r="15">
          <cell r="E15" t="str">
            <v>B</v>
          </cell>
        </row>
        <row r="16">
          <cell r="E16" t="str">
            <v>E</v>
          </cell>
          <cell r="F16">
            <v>0.63100000000000001</v>
          </cell>
        </row>
        <row r="17">
          <cell r="E17" t="str">
            <v>G</v>
          </cell>
          <cell r="F17">
            <v>2.5</v>
          </cell>
        </row>
        <row r="18">
          <cell r="E18" t="str">
            <v>D</v>
          </cell>
          <cell r="F18">
            <v>1.9</v>
          </cell>
        </row>
        <row r="19">
          <cell r="E19" t="str">
            <v>B</v>
          </cell>
          <cell r="F19">
            <v>1.05</v>
          </cell>
        </row>
        <row r="20">
          <cell r="E20" t="str">
            <v>E</v>
          </cell>
          <cell r="F20">
            <v>0.45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OR960887"/>
    </sheetNames>
    <definedNames>
      <definedName name="PassaExtenso"/>
    </defined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5"/>
  <sheetViews>
    <sheetView showGridLines="0" tabSelected="1" view="pageBreakPreview" zoomScale="70" zoomScaleNormal="75" zoomScaleSheetLayoutView="80" workbookViewId="0">
      <selection activeCell="C65" activeCellId="1" sqref="C64 C65"/>
    </sheetView>
  </sheetViews>
  <sheetFormatPr defaultRowHeight="15.75"/>
  <cols>
    <col min="1" max="1" width="9.140625" style="421"/>
    <col min="2" max="2" width="14.7109375" style="2" customWidth="1"/>
    <col min="3" max="3" width="112.7109375" style="2" customWidth="1"/>
    <col min="4" max="4" width="8.140625" style="346" customWidth="1"/>
    <col min="5" max="5" width="15" style="344" customWidth="1"/>
    <col min="6" max="16384" width="9.140625" style="2"/>
  </cols>
  <sheetData>
    <row r="1" spans="1:5" ht="16.5" thickBot="1"/>
    <row r="2" spans="1:5" ht="21" customHeight="1">
      <c r="B2" s="362" t="s">
        <v>526</v>
      </c>
      <c r="C2" s="494" t="s">
        <v>507</v>
      </c>
      <c r="D2" s="343"/>
      <c r="E2" s="364" t="s">
        <v>115</v>
      </c>
    </row>
    <row r="3" spans="1:5" ht="18.75" customHeight="1" thickBot="1">
      <c r="B3" s="363">
        <v>41214</v>
      </c>
      <c r="C3" s="495"/>
      <c r="D3" s="345" t="s">
        <v>627</v>
      </c>
      <c r="E3" s="365">
        <v>0.26700000000000002</v>
      </c>
    </row>
    <row r="4" spans="1:5" s="352" customFormat="1" ht="13.5" customHeight="1">
      <c r="A4" s="422"/>
      <c r="B4" s="351"/>
      <c r="C4" s="342"/>
      <c r="D4" s="345"/>
      <c r="E4" s="342"/>
    </row>
    <row r="5" spans="1:5" s="325" customFormat="1" ht="27.75" customHeight="1">
      <c r="A5" s="423"/>
      <c r="B5" s="341" t="s">
        <v>31</v>
      </c>
      <c r="C5" s="14" t="s">
        <v>0</v>
      </c>
      <c r="D5" s="14" t="s">
        <v>1</v>
      </c>
      <c r="E5" s="326" t="s">
        <v>2</v>
      </c>
    </row>
    <row r="6" spans="1:5" hidden="1">
      <c r="B6" s="1"/>
      <c r="C6" s="3"/>
      <c r="D6" s="1"/>
      <c r="E6" s="327"/>
    </row>
    <row r="7" spans="1:5" hidden="1">
      <c r="B7" s="1"/>
      <c r="C7" s="3"/>
      <c r="D7" s="1"/>
      <c r="E7" s="327"/>
    </row>
    <row r="8" spans="1:5" hidden="1">
      <c r="B8" s="1"/>
      <c r="C8" s="3"/>
      <c r="D8" s="1"/>
      <c r="E8" s="327"/>
    </row>
    <row r="9" spans="1:5" hidden="1">
      <c r="B9" s="1"/>
      <c r="C9" s="3"/>
      <c r="D9" s="1"/>
      <c r="E9" s="327"/>
    </row>
    <row r="10" spans="1:5" hidden="1">
      <c r="B10" s="1"/>
      <c r="C10" s="3"/>
      <c r="D10" s="1"/>
      <c r="E10" s="327"/>
    </row>
    <row r="11" spans="1:5" hidden="1">
      <c r="B11" s="1"/>
      <c r="C11" s="3"/>
      <c r="D11" s="1"/>
      <c r="E11" s="327"/>
    </row>
    <row r="12" spans="1:5" hidden="1">
      <c r="B12" s="1"/>
      <c r="C12" s="3"/>
      <c r="D12" s="1"/>
      <c r="E12" s="327"/>
    </row>
    <row r="13" spans="1:5" hidden="1">
      <c r="B13" s="1"/>
      <c r="C13" s="3"/>
      <c r="D13" s="1"/>
      <c r="E13" s="327"/>
    </row>
    <row r="14" spans="1:5" hidden="1">
      <c r="B14" s="1"/>
      <c r="C14" s="3"/>
      <c r="D14" s="1"/>
      <c r="E14" s="327"/>
    </row>
    <row r="15" spans="1:5" hidden="1">
      <c r="B15" s="1"/>
      <c r="C15" s="3"/>
      <c r="D15" s="1"/>
      <c r="E15" s="327"/>
    </row>
    <row r="16" spans="1:5" ht="8.25" customHeight="1">
      <c r="B16" s="1"/>
      <c r="C16" s="3"/>
      <c r="D16" s="1"/>
      <c r="E16" s="327"/>
    </row>
    <row r="17" spans="1:5" ht="15" customHeight="1">
      <c r="B17" s="8"/>
      <c r="C17" s="9" t="s">
        <v>3</v>
      </c>
      <c r="D17" s="8"/>
      <c r="E17" s="328"/>
    </row>
    <row r="18" spans="1:5" ht="5.25" customHeight="1">
      <c r="B18" s="6"/>
      <c r="C18" s="10"/>
      <c r="D18" s="11"/>
      <c r="E18" s="329"/>
    </row>
    <row r="19" spans="1:5" ht="15" customHeight="1">
      <c r="B19" s="15" t="s">
        <v>72</v>
      </c>
      <c r="C19" s="4"/>
      <c r="D19" s="5"/>
      <c r="E19" s="330"/>
    </row>
    <row r="20" spans="1:5" ht="7.5" customHeight="1">
      <c r="B20" s="7"/>
      <c r="C20" s="12"/>
      <c r="D20" s="13"/>
      <c r="E20" s="331"/>
    </row>
    <row r="21" spans="1:5" ht="17.100000000000001" customHeight="1">
      <c r="A21" s="420" t="s">
        <v>184</v>
      </c>
      <c r="B21" s="424" t="s">
        <v>32</v>
      </c>
      <c r="C21" s="425" t="s">
        <v>7</v>
      </c>
      <c r="D21" s="426" t="s">
        <v>5</v>
      </c>
      <c r="E21" s="332">
        <f>'Composições Ruppel'!N41</f>
        <v>181.040405170828</v>
      </c>
    </row>
    <row r="22" spans="1:5" ht="17.100000000000001" customHeight="1">
      <c r="A22" s="420" t="s">
        <v>185</v>
      </c>
      <c r="B22" s="427" t="s">
        <v>27</v>
      </c>
      <c r="C22" s="428" t="s">
        <v>36</v>
      </c>
      <c r="D22" s="429" t="s">
        <v>217</v>
      </c>
      <c r="E22" s="332">
        <f>'Composições Ruppel'!N104</f>
        <v>210.55052921317801</v>
      </c>
    </row>
    <row r="23" spans="1:5" ht="17.100000000000001" customHeight="1">
      <c r="A23" s="420" t="s">
        <v>186</v>
      </c>
      <c r="B23" s="427" t="s">
        <v>37</v>
      </c>
      <c r="C23" s="428" t="s">
        <v>38</v>
      </c>
      <c r="D23" s="429" t="s">
        <v>217</v>
      </c>
      <c r="E23" s="332">
        <f>'Composições Ruppel'!N167</f>
        <v>210.55052921317801</v>
      </c>
    </row>
    <row r="24" spans="1:5" ht="17.100000000000001" customHeight="1">
      <c r="A24" s="420" t="s">
        <v>187</v>
      </c>
      <c r="B24" s="427"/>
      <c r="C24" s="428" t="s">
        <v>17</v>
      </c>
      <c r="D24" s="429" t="s">
        <v>217</v>
      </c>
      <c r="E24" s="332">
        <f>'Composições Ruppel'!N230</f>
        <v>273.61850464237796</v>
      </c>
    </row>
    <row r="25" spans="1:5" ht="17.100000000000001" customHeight="1">
      <c r="A25" s="420" t="s">
        <v>188</v>
      </c>
      <c r="B25" s="427"/>
      <c r="C25" s="428" t="s">
        <v>18</v>
      </c>
      <c r="D25" s="429" t="s">
        <v>217</v>
      </c>
      <c r="E25" s="332">
        <f>'Composições Ruppel'!N293</f>
        <v>242.111255442378</v>
      </c>
    </row>
    <row r="26" spans="1:5" ht="17.100000000000001" customHeight="1">
      <c r="A26" s="420" t="s">
        <v>189</v>
      </c>
      <c r="B26" s="427"/>
      <c r="C26" s="428" t="s">
        <v>8</v>
      </c>
      <c r="D26" s="429" t="s">
        <v>5</v>
      </c>
      <c r="E26" s="332">
        <f>'Composições Ruppel'!N356</f>
        <v>564.24714896091155</v>
      </c>
    </row>
    <row r="27" spans="1:5" ht="17.100000000000001" customHeight="1">
      <c r="A27" s="420" t="s">
        <v>190</v>
      </c>
      <c r="B27" s="427" t="s">
        <v>28</v>
      </c>
      <c r="C27" s="428" t="s">
        <v>34</v>
      </c>
      <c r="D27" s="429" t="s">
        <v>5</v>
      </c>
      <c r="E27" s="332">
        <f>'Composições Ruppel'!N419</f>
        <v>465.22230649090562</v>
      </c>
    </row>
    <row r="28" spans="1:5" ht="17.100000000000001" customHeight="1">
      <c r="A28" s="420" t="s">
        <v>191</v>
      </c>
      <c r="B28" s="427" t="s">
        <v>33</v>
      </c>
      <c r="C28" s="428" t="s">
        <v>35</v>
      </c>
      <c r="D28" s="429" t="s">
        <v>5</v>
      </c>
      <c r="E28" s="332">
        <f>'Composições Ruppel'!N482</f>
        <v>465.22230649090562</v>
      </c>
    </row>
    <row r="29" spans="1:5" ht="17.100000000000001" customHeight="1">
      <c r="A29" s="420" t="s">
        <v>192</v>
      </c>
      <c r="B29" s="427"/>
      <c r="C29" s="428" t="s">
        <v>10</v>
      </c>
      <c r="D29" s="429" t="s">
        <v>5</v>
      </c>
      <c r="E29" s="332">
        <f>'Composições Ruppel'!N542</f>
        <v>443.61914275660791</v>
      </c>
    </row>
    <row r="30" spans="1:5" ht="17.100000000000001" customHeight="1">
      <c r="A30" s="420" t="s">
        <v>193</v>
      </c>
      <c r="B30" s="427" t="s">
        <v>29</v>
      </c>
      <c r="C30" s="428" t="s">
        <v>39</v>
      </c>
      <c r="D30" s="429" t="s">
        <v>6</v>
      </c>
      <c r="E30" s="332">
        <f>'Composições Ruppel'!N600</f>
        <v>7.6662513438000008</v>
      </c>
    </row>
    <row r="31" spans="1:5" ht="17.100000000000001" customHeight="1">
      <c r="A31" s="420" t="s">
        <v>194</v>
      </c>
      <c r="B31" s="427" t="s">
        <v>536</v>
      </c>
      <c r="C31" s="428" t="s">
        <v>40</v>
      </c>
      <c r="D31" s="429" t="s">
        <v>6</v>
      </c>
      <c r="E31" s="332">
        <f>'Composições Ruppel'!N657</f>
        <v>7.6662513438000008</v>
      </c>
    </row>
    <row r="32" spans="1:5" ht="17.100000000000001" customHeight="1">
      <c r="A32" s="420" t="s">
        <v>195</v>
      </c>
      <c r="B32" s="427" t="s">
        <v>19</v>
      </c>
      <c r="C32" s="428" t="s">
        <v>16</v>
      </c>
      <c r="D32" s="429" t="s">
        <v>6</v>
      </c>
      <c r="E32" s="332">
        <f>'Composições Ruppel'!N715</f>
        <v>12.40561924042</v>
      </c>
    </row>
    <row r="33" spans="1:5" ht="17.100000000000001" customHeight="1">
      <c r="A33" s="420" t="s">
        <v>196</v>
      </c>
      <c r="B33" s="427"/>
      <c r="C33" s="428" t="s">
        <v>30</v>
      </c>
      <c r="D33" s="429" t="s">
        <v>5</v>
      </c>
      <c r="E33" s="332">
        <f>'Composições Ruppel'!N778</f>
        <v>664.54186522237922</v>
      </c>
    </row>
    <row r="34" spans="1:5" ht="17.100000000000001" customHeight="1">
      <c r="A34" s="420" t="s">
        <v>197</v>
      </c>
      <c r="B34" s="427" t="s">
        <v>537</v>
      </c>
      <c r="C34" s="428" t="s">
        <v>9</v>
      </c>
      <c r="D34" s="429" t="s">
        <v>6</v>
      </c>
      <c r="E34" s="332">
        <f>'Composições Ruppel'!N828</f>
        <v>0.73957516584000005</v>
      </c>
    </row>
    <row r="35" spans="1:5" ht="17.100000000000001" customHeight="1">
      <c r="A35" s="420" t="s">
        <v>198</v>
      </c>
      <c r="B35" s="427" t="s">
        <v>538</v>
      </c>
      <c r="C35" s="428" t="s">
        <v>12</v>
      </c>
      <c r="D35" s="429" t="s">
        <v>6</v>
      </c>
      <c r="E35" s="332">
        <f>'Composições Ruppel'!N880</f>
        <v>3.4086765009360005</v>
      </c>
    </row>
    <row r="36" spans="1:5" ht="17.100000000000001" customHeight="1">
      <c r="A36" s="420" t="s">
        <v>199</v>
      </c>
      <c r="B36" s="427" t="s">
        <v>41</v>
      </c>
      <c r="C36" s="428" t="s">
        <v>15</v>
      </c>
      <c r="D36" s="429" t="s">
        <v>5</v>
      </c>
      <c r="E36" s="332">
        <f>'Composições Ruppel'!N939</f>
        <v>284.57622228924004</v>
      </c>
    </row>
    <row r="37" spans="1:5" ht="17.100000000000001" customHeight="1">
      <c r="A37" s="420" t="s">
        <v>200</v>
      </c>
      <c r="B37" s="427"/>
      <c r="C37" s="428" t="s">
        <v>11</v>
      </c>
      <c r="D37" s="429" t="s">
        <v>5</v>
      </c>
      <c r="E37" s="332">
        <f>'Composições Ruppel'!N980</f>
        <v>29.349041400000001</v>
      </c>
    </row>
    <row r="38" spans="1:5" ht="17.100000000000001" customHeight="1">
      <c r="A38" s="420" t="s">
        <v>201</v>
      </c>
      <c r="B38" s="427"/>
      <c r="C38" s="428" t="s">
        <v>13</v>
      </c>
      <c r="D38" s="429" t="s">
        <v>6</v>
      </c>
      <c r="E38" s="332">
        <f>'Composições Ruppel'!N1039</f>
        <v>45.323614785120007</v>
      </c>
    </row>
    <row r="39" spans="1:5" ht="17.100000000000001" customHeight="1">
      <c r="A39" s="420" t="s">
        <v>202</v>
      </c>
      <c r="B39" s="427"/>
      <c r="C39" s="428" t="s">
        <v>14</v>
      </c>
      <c r="D39" s="429" t="s">
        <v>6</v>
      </c>
      <c r="E39" s="332">
        <f>'Composições Ruppel'!N1098</f>
        <v>34.681986831072003</v>
      </c>
    </row>
    <row r="40" spans="1:5" ht="17.100000000000001" customHeight="1">
      <c r="A40" s="420" t="s">
        <v>203</v>
      </c>
      <c r="B40" s="427" t="s">
        <v>20</v>
      </c>
      <c r="C40" s="428" t="s">
        <v>552</v>
      </c>
      <c r="D40" s="429" t="s">
        <v>6</v>
      </c>
      <c r="E40" s="332">
        <f>'Composições Ruppel'!N1138</f>
        <v>0.8270976000000001</v>
      </c>
    </row>
    <row r="41" spans="1:5" ht="17.100000000000001" customHeight="1">
      <c r="A41" s="420" t="s">
        <v>204</v>
      </c>
      <c r="B41" s="427" t="s">
        <v>21</v>
      </c>
      <c r="C41" s="428" t="s">
        <v>553</v>
      </c>
      <c r="D41" s="429" t="s">
        <v>5</v>
      </c>
      <c r="E41" s="332">
        <f>'Composições Ruppel'!N1177</f>
        <v>33.6913038</v>
      </c>
    </row>
    <row r="42" spans="1:5" ht="17.100000000000001" customHeight="1">
      <c r="A42" s="420" t="s">
        <v>205</v>
      </c>
      <c r="B42" s="427" t="s">
        <v>22</v>
      </c>
      <c r="C42" s="428" t="s">
        <v>554</v>
      </c>
      <c r="D42" s="429" t="s">
        <v>5</v>
      </c>
      <c r="E42" s="332">
        <f>'Composições Ruppel'!N1218</f>
        <v>34.259933400000001</v>
      </c>
    </row>
    <row r="43" spans="1:5" ht="17.100000000000001" customHeight="1">
      <c r="A43" s="420" t="s">
        <v>206</v>
      </c>
      <c r="B43" s="427" t="s">
        <v>23</v>
      </c>
      <c r="C43" s="428" t="s">
        <v>555</v>
      </c>
      <c r="D43" s="429" t="s">
        <v>5</v>
      </c>
      <c r="E43" s="332">
        <f>'Composições Ruppel'!N1259</f>
        <v>34.259933400000001</v>
      </c>
    </row>
    <row r="44" spans="1:5" ht="17.100000000000001" customHeight="1">
      <c r="A44" s="420" t="s">
        <v>207</v>
      </c>
      <c r="B44" s="427" t="s">
        <v>24</v>
      </c>
      <c r="C44" s="428" t="s">
        <v>556</v>
      </c>
      <c r="D44" s="429" t="s">
        <v>5</v>
      </c>
      <c r="E44" s="332">
        <f>'Composições Ruppel'!N1299</f>
        <v>112.6532778</v>
      </c>
    </row>
    <row r="45" spans="1:5" ht="17.100000000000001" customHeight="1">
      <c r="A45" s="420" t="s">
        <v>208</v>
      </c>
      <c r="B45" s="427" t="s">
        <v>25</v>
      </c>
      <c r="C45" s="428" t="s">
        <v>557</v>
      </c>
      <c r="D45" s="429" t="s">
        <v>5</v>
      </c>
      <c r="E45" s="332">
        <f>'Composições Ruppel'!N1339</f>
        <v>119.19251819999999</v>
      </c>
    </row>
    <row r="46" spans="1:5" ht="17.100000000000001" customHeight="1">
      <c r="A46" s="420" t="s">
        <v>209</v>
      </c>
      <c r="B46" s="427" t="s">
        <v>26</v>
      </c>
      <c r="C46" s="428" t="s">
        <v>558</v>
      </c>
      <c r="D46" s="429" t="s">
        <v>5</v>
      </c>
      <c r="E46" s="332">
        <f>'Composições Ruppel'!N1379</f>
        <v>149.6400486</v>
      </c>
    </row>
    <row r="47" spans="1:5" ht="17.100000000000001" customHeight="1">
      <c r="A47" s="420" t="s">
        <v>210</v>
      </c>
      <c r="B47" s="427"/>
      <c r="C47" s="428" t="s">
        <v>559</v>
      </c>
      <c r="D47" s="429" t="s">
        <v>5</v>
      </c>
      <c r="E47" s="332">
        <f>'Composições Ruppel'!N1419</f>
        <v>155.41680839999998</v>
      </c>
    </row>
    <row r="48" spans="1:5" ht="17.100000000000001" customHeight="1">
      <c r="A48" s="420" t="s">
        <v>211</v>
      </c>
      <c r="B48" s="427"/>
      <c r="C48" s="428" t="s">
        <v>560</v>
      </c>
      <c r="D48" s="429" t="s">
        <v>6</v>
      </c>
      <c r="E48" s="332">
        <f>'Composições Ruppel'!N1475</f>
        <v>22.848571200000002</v>
      </c>
    </row>
    <row r="49" spans="1:5" ht="17.100000000000001" customHeight="1">
      <c r="A49" s="420" t="s">
        <v>212</v>
      </c>
      <c r="B49" s="427"/>
      <c r="C49" s="428" t="s">
        <v>561</v>
      </c>
      <c r="D49" s="429" t="s">
        <v>5</v>
      </c>
      <c r="E49" s="332">
        <f>'Composições Ruppel'!N1515</f>
        <v>147.02952180000003</v>
      </c>
    </row>
    <row r="50" spans="1:5" ht="17.100000000000001" customHeight="1">
      <c r="A50" s="420" t="s">
        <v>213</v>
      </c>
      <c r="B50" s="427"/>
      <c r="C50" s="428" t="s">
        <v>562</v>
      </c>
      <c r="D50" s="429" t="s">
        <v>5</v>
      </c>
      <c r="E50" s="332">
        <f>'Composições Ruppel'!N1574</f>
        <v>345.76738919939999</v>
      </c>
    </row>
    <row r="51" spans="1:5" ht="17.100000000000001" customHeight="1">
      <c r="A51" s="420" t="s">
        <v>214</v>
      </c>
      <c r="B51" s="427"/>
      <c r="C51" s="428" t="s">
        <v>563</v>
      </c>
      <c r="D51" s="429" t="s">
        <v>5</v>
      </c>
      <c r="E51" s="332">
        <f>'Composições Ruppel'!N1613</f>
        <v>77.214781000000002</v>
      </c>
    </row>
    <row r="52" spans="1:5" ht="17.100000000000001" customHeight="1">
      <c r="A52" s="419"/>
      <c r="B52" s="430"/>
      <c r="C52" s="431" t="s">
        <v>4</v>
      </c>
      <c r="D52" s="430"/>
      <c r="E52" s="333"/>
    </row>
    <row r="53" spans="1:5" ht="17.100000000000001" customHeight="1">
      <c r="A53" s="420" t="s">
        <v>215</v>
      </c>
      <c r="B53" s="427"/>
      <c r="C53" s="428" t="s">
        <v>564</v>
      </c>
      <c r="D53" s="427" t="s">
        <v>567</v>
      </c>
      <c r="E53" s="332">
        <f>'Composições Ruppel'!N1653</f>
        <v>186197.568669</v>
      </c>
    </row>
    <row r="54" spans="1:5" ht="17.100000000000001" customHeight="1">
      <c r="A54" s="420" t="s">
        <v>216</v>
      </c>
      <c r="B54" s="427"/>
      <c r="C54" s="428" t="s">
        <v>565</v>
      </c>
      <c r="D54" s="427" t="s">
        <v>567</v>
      </c>
      <c r="E54" s="332">
        <f>'Composições Ruppel'!N1693</f>
        <v>210572.58726</v>
      </c>
    </row>
    <row r="55" spans="1:5" ht="17.100000000000001" customHeight="1">
      <c r="A55" s="420" t="s">
        <v>218</v>
      </c>
      <c r="B55" s="427" t="s">
        <v>539</v>
      </c>
      <c r="C55" s="428" t="s">
        <v>566</v>
      </c>
      <c r="D55" s="427" t="s">
        <v>567</v>
      </c>
      <c r="E55" s="332">
        <f>'Composições Ruppel'!N1736</f>
        <v>224530.98359580006</v>
      </c>
    </row>
    <row r="56" spans="1:5" hidden="1">
      <c r="B56" s="346"/>
    </row>
    <row r="57" spans="1:5">
      <c r="B57" s="346"/>
    </row>
    <row r="58" spans="1:5">
      <c r="B58" s="347" t="s">
        <v>46</v>
      </c>
    </row>
    <row r="59" spans="1:5">
      <c r="B59" s="348" t="s">
        <v>49</v>
      </c>
      <c r="C59" s="348"/>
      <c r="D59" s="349"/>
    </row>
    <row r="60" spans="1:5">
      <c r="B60" s="348" t="s">
        <v>47</v>
      </c>
      <c r="C60" s="348"/>
      <c r="D60" s="349"/>
    </row>
    <row r="61" spans="1:5">
      <c r="B61" s="348"/>
      <c r="C61" s="348"/>
      <c r="D61" s="349"/>
    </row>
    <row r="62" spans="1:5">
      <c r="B62" s="348" t="s">
        <v>42</v>
      </c>
      <c r="C62" s="348"/>
      <c r="D62" s="349"/>
    </row>
    <row r="63" spans="1:5">
      <c r="B63" s="348" t="s">
        <v>48</v>
      </c>
      <c r="C63" s="348"/>
      <c r="D63" s="349"/>
    </row>
    <row r="64" spans="1:5">
      <c r="B64" s="348" t="s">
        <v>43</v>
      </c>
      <c r="C64" s="348"/>
      <c r="D64" s="349"/>
    </row>
    <row r="65" spans="2:4">
      <c r="B65" s="348" t="s">
        <v>50</v>
      </c>
      <c r="C65" s="348"/>
      <c r="D65" s="349"/>
    </row>
    <row r="66" spans="2:4">
      <c r="B66" s="348" t="s">
        <v>44</v>
      </c>
      <c r="C66" s="348"/>
      <c r="D66" s="349"/>
    </row>
    <row r="67" spans="2:4">
      <c r="B67" s="348" t="s">
        <v>68</v>
      </c>
      <c r="C67" s="348"/>
      <c r="D67" s="349"/>
    </row>
    <row r="68" spans="2:4">
      <c r="B68" s="348"/>
      <c r="C68" s="348"/>
      <c r="D68" s="349"/>
    </row>
    <row r="69" spans="2:4">
      <c r="B69" s="348" t="s">
        <v>54</v>
      </c>
      <c r="C69" s="348"/>
      <c r="D69" s="349"/>
    </row>
    <row r="70" spans="2:4">
      <c r="B70" s="348" t="s">
        <v>621</v>
      </c>
      <c r="C70" s="348"/>
      <c r="D70" s="349"/>
    </row>
    <row r="71" spans="2:4">
      <c r="B71" s="348" t="s">
        <v>55</v>
      </c>
      <c r="C71" s="348"/>
      <c r="D71" s="349"/>
    </row>
    <row r="72" spans="2:4">
      <c r="B72" s="348" t="s">
        <v>56</v>
      </c>
      <c r="C72" s="348"/>
      <c r="D72" s="349"/>
    </row>
    <row r="73" spans="2:4">
      <c r="B73" s="348" t="s">
        <v>57</v>
      </c>
      <c r="C73" s="348"/>
      <c r="D73" s="349"/>
    </row>
    <row r="74" spans="2:4">
      <c r="B74" s="348" t="s">
        <v>58</v>
      </c>
      <c r="C74" s="348"/>
      <c r="D74" s="349"/>
    </row>
    <row r="75" spans="2:4">
      <c r="B75" s="348"/>
      <c r="C75" s="348"/>
      <c r="D75" s="349"/>
    </row>
    <row r="76" spans="2:4">
      <c r="B76" s="348" t="s">
        <v>623</v>
      </c>
      <c r="C76" s="348"/>
      <c r="D76" s="349"/>
    </row>
    <row r="77" spans="2:4">
      <c r="B77" s="348" t="s">
        <v>51</v>
      </c>
      <c r="C77" s="348"/>
      <c r="D77" s="349"/>
    </row>
    <row r="78" spans="2:4">
      <c r="B78" s="348" t="s">
        <v>45</v>
      </c>
      <c r="C78" s="348"/>
      <c r="D78" s="349"/>
    </row>
    <row r="79" spans="2:4">
      <c r="B79" s="350" t="s">
        <v>71</v>
      </c>
      <c r="C79" s="348"/>
      <c r="D79" s="349"/>
    </row>
    <row r="80" spans="2:4">
      <c r="B80" s="350" t="s">
        <v>70</v>
      </c>
      <c r="C80" s="348"/>
      <c r="D80" s="349"/>
    </row>
    <row r="81" spans="2:4">
      <c r="B81" s="348" t="s">
        <v>53</v>
      </c>
      <c r="C81" s="348"/>
      <c r="D81" s="349"/>
    </row>
    <row r="82" spans="2:4">
      <c r="B82" s="348" t="s">
        <v>60</v>
      </c>
      <c r="C82" s="348"/>
      <c r="D82" s="349"/>
    </row>
    <row r="83" spans="2:4">
      <c r="B83" s="348" t="s">
        <v>63</v>
      </c>
      <c r="C83" s="348"/>
      <c r="D83" s="349"/>
    </row>
    <row r="84" spans="2:4">
      <c r="B84" s="348" t="s">
        <v>61</v>
      </c>
      <c r="C84" s="348"/>
      <c r="D84" s="349"/>
    </row>
    <row r="85" spans="2:4">
      <c r="B85" s="348" t="s">
        <v>64</v>
      </c>
      <c r="C85" s="348"/>
      <c r="D85" s="349"/>
    </row>
    <row r="86" spans="2:4">
      <c r="B86" s="348" t="s">
        <v>62</v>
      </c>
      <c r="C86" s="348"/>
      <c r="D86" s="349"/>
    </row>
    <row r="87" spans="2:4">
      <c r="B87" s="348"/>
      <c r="C87" s="348"/>
      <c r="D87" s="349"/>
    </row>
    <row r="88" spans="2:4">
      <c r="B88" s="348" t="s">
        <v>69</v>
      </c>
      <c r="C88" s="348"/>
      <c r="D88" s="349"/>
    </row>
    <row r="89" spans="2:4">
      <c r="B89" s="348"/>
      <c r="C89" s="348"/>
      <c r="D89" s="349"/>
    </row>
    <row r="90" spans="2:4">
      <c r="B90" s="348" t="s">
        <v>59</v>
      </c>
      <c r="C90" s="348"/>
      <c r="D90" s="349"/>
    </row>
    <row r="91" spans="2:4">
      <c r="B91" s="348" t="s">
        <v>65</v>
      </c>
      <c r="C91" s="348"/>
      <c r="D91" s="349"/>
    </row>
    <row r="92" spans="2:4">
      <c r="B92" s="348" t="s">
        <v>66</v>
      </c>
      <c r="C92" s="348"/>
      <c r="D92" s="349"/>
    </row>
    <row r="93" spans="2:4">
      <c r="B93" s="348" t="s">
        <v>67</v>
      </c>
      <c r="C93" s="348"/>
      <c r="D93" s="349"/>
    </row>
    <row r="94" spans="2:4">
      <c r="B94" s="348"/>
      <c r="C94" s="348"/>
      <c r="D94" s="349"/>
    </row>
    <row r="95" spans="2:4">
      <c r="B95" s="348" t="s">
        <v>52</v>
      </c>
      <c r="C95" s="348"/>
      <c r="D95" s="349"/>
    </row>
  </sheetData>
  <mergeCells count="1">
    <mergeCell ref="C2:C3"/>
  </mergeCells>
  <phoneticPr fontId="0" type="noConversion"/>
  <hyperlinks>
    <hyperlink ref="A21" location="'Composições Ruppel'!F7" display="01"/>
    <hyperlink ref="A22" location="'Composições Ruppel'!F46" display="02"/>
    <hyperlink ref="A23" location="'Composições Ruppel'!F109" display="03"/>
    <hyperlink ref="A24" location="'Composições Ruppel'!F172" display="04"/>
    <hyperlink ref="A25" location="'Composições Ruppel'!F235" display="05"/>
    <hyperlink ref="A26" location="'Composições Ruppel'!F298" display="06"/>
    <hyperlink ref="A27" location="'Composições Ruppel'!F361" display="07"/>
    <hyperlink ref="A28" location="'Composições Ruppel'!F424" display="08"/>
    <hyperlink ref="A29" location="'Composições Ruppel'!F487" display="09"/>
    <hyperlink ref="A30" location="'Composições Ruppel'!F547" display="10"/>
    <hyperlink ref="A31" location="'Composições Ruppel'!F605" display="11"/>
    <hyperlink ref="A32" location="'Composições Ruppel'!F662" display="12"/>
    <hyperlink ref="A33" location="'Composições Ruppel'!F720" display="13"/>
    <hyperlink ref="A34" location="'Composições Ruppel'!F781" display="14"/>
    <hyperlink ref="A35" location="'Composições Ruppel'!F833" display="15"/>
    <hyperlink ref="A36" location="'Composições Ruppel'!F885" display="16"/>
    <hyperlink ref="A37" location="'Composições Ruppel'!F944" display="17"/>
    <hyperlink ref="A38" location="'Composições Ruppel'!F985" display="18"/>
    <hyperlink ref="A39" location="'Composições Ruppel'!F1044" display="19"/>
    <hyperlink ref="A40" location="'Composições Ruppel'!F1103" display="20"/>
    <hyperlink ref="A41" location="'Composições Ruppel'!F1143" display="21"/>
    <hyperlink ref="A42" location="'Composições Ruppel'!F1182" display="22"/>
    <hyperlink ref="A43" location="'Composições Ruppel'!F1223" display="23"/>
    <hyperlink ref="A44" location="'Composições Ruppel'!F1264" display="24"/>
    <hyperlink ref="A45" location="'Composições Ruppel'!F1304" display="25"/>
    <hyperlink ref="A46" location="'Composições Ruppel'!F1344" display="26"/>
    <hyperlink ref="A47" location="'Composições Ruppel'!F1384" display="27"/>
    <hyperlink ref="A48" location="'Composições Ruppel'!F1424" display="28"/>
    <hyperlink ref="A49" location="'Composições Ruppel'!F1480" display="29"/>
    <hyperlink ref="A50" location="'Composições Ruppel'!F1520" display="30"/>
    <hyperlink ref="A51" location="'Composições Ruppel'!F1579" display="31"/>
    <hyperlink ref="A53" location="'Composições Ruppel'!F1618" display="32"/>
    <hyperlink ref="A54" location="'Composições Ruppel'!F1658" display="33"/>
    <hyperlink ref="A55" location="'Composições Ruppel'!F1699" display="34"/>
  </hyperlinks>
  <printOptions horizontalCentered="1"/>
  <pageMargins left="0.28000000000000003" right="0.21" top="0.48" bottom="0.47244094488188981" header="0.23622047244094491" footer="0.35433070866141736"/>
  <pageSetup paperSize="9" scale="70" orientation="landscape" r:id="rId1"/>
  <headerFooter alignWithMargins="0"/>
  <rowBreaks count="1" manualBreakCount="1">
    <brk id="5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2:P1740"/>
  <sheetViews>
    <sheetView showGridLines="0" tabSelected="1" view="pageBreakPreview" zoomScale="60" zoomScaleNormal="60" workbookViewId="0">
      <selection activeCell="C65" activeCellId="1" sqref="C64 C65"/>
    </sheetView>
  </sheetViews>
  <sheetFormatPr defaultRowHeight="20.100000000000001" customHeight="1"/>
  <cols>
    <col min="1" max="1" width="2" style="16" customWidth="1"/>
    <col min="2" max="2" width="9.7109375" style="197" customWidth="1"/>
    <col min="3" max="3" width="2.140625" style="197" customWidth="1"/>
    <col min="4" max="4" width="51.28515625" style="16" customWidth="1"/>
    <col min="5" max="5" width="14.140625" style="16" customWidth="1"/>
    <col min="6" max="6" width="10.7109375" style="16" customWidth="1"/>
    <col min="7" max="7" width="8.140625" style="16" customWidth="1"/>
    <col min="8" max="8" width="10.85546875" style="16" bestFit="1" customWidth="1"/>
    <col min="9" max="9" width="12.85546875" style="223" customWidth="1"/>
    <col min="10" max="10" width="15" style="16" customWidth="1"/>
    <col min="11" max="11" width="21.85546875" style="16" customWidth="1"/>
    <col min="12" max="12" width="27.5703125" style="223" customWidth="1"/>
    <col min="13" max="13" width="14.5703125" style="16" customWidth="1"/>
    <col min="14" max="14" width="21" style="223" customWidth="1"/>
    <col min="15" max="15" width="13" style="389" customWidth="1"/>
    <col min="16" max="16384" width="9.140625" style="16"/>
  </cols>
  <sheetData>
    <row r="2" spans="2:14" ht="26.1" customHeight="1">
      <c r="D2" s="583" t="s">
        <v>73</v>
      </c>
      <c r="E2" s="583"/>
      <c r="F2" s="583"/>
      <c r="G2" s="583"/>
      <c r="H2" s="583"/>
      <c r="I2" s="583"/>
      <c r="J2" s="583"/>
      <c r="K2" s="583"/>
      <c r="L2" s="583"/>
      <c r="M2" s="583"/>
      <c r="N2" s="583"/>
    </row>
    <row r="3" spans="2:14" ht="26.1" customHeight="1">
      <c r="D3" s="583" t="s">
        <v>627</v>
      </c>
      <c r="E3" s="583"/>
      <c r="F3" s="583"/>
      <c r="G3" s="583"/>
      <c r="H3" s="583"/>
      <c r="I3" s="583"/>
      <c r="J3" s="583"/>
      <c r="K3" s="583"/>
      <c r="L3" s="583"/>
      <c r="M3" s="583"/>
      <c r="N3" s="583"/>
    </row>
    <row r="4" spans="2:14" ht="6" customHeight="1">
      <c r="D4" s="17"/>
      <c r="E4" s="18"/>
      <c r="F4" s="18"/>
      <c r="G4" s="18"/>
      <c r="H4" s="18"/>
      <c r="I4" s="213"/>
      <c r="J4" s="18"/>
      <c r="K4" s="18"/>
      <c r="L4" s="213"/>
      <c r="M4" s="18"/>
      <c r="N4" s="213"/>
    </row>
    <row r="5" spans="2:14" ht="19.5" customHeight="1" thickBot="1">
      <c r="D5" s="17"/>
      <c r="E5" s="18"/>
      <c r="F5" s="18"/>
      <c r="G5" s="18"/>
      <c r="H5" s="18"/>
      <c r="I5" s="213"/>
      <c r="J5" s="18"/>
      <c r="K5" s="18"/>
      <c r="L5" s="213"/>
      <c r="M5" s="18"/>
      <c r="N5" s="213"/>
    </row>
    <row r="6" spans="2:14" ht="20.100000000000001" customHeight="1">
      <c r="B6" s="197" t="s">
        <v>184</v>
      </c>
      <c r="D6" s="520" t="s">
        <v>534</v>
      </c>
      <c r="E6" s="521"/>
      <c r="F6" s="524" t="s">
        <v>74</v>
      </c>
      <c r="G6" s="525"/>
      <c r="H6" s="525"/>
      <c r="I6" s="525"/>
      <c r="J6" s="525"/>
      <c r="K6" s="525"/>
      <c r="L6" s="526"/>
      <c r="M6" s="19" t="s">
        <v>75</v>
      </c>
      <c r="N6" s="20" t="s">
        <v>76</v>
      </c>
    </row>
    <row r="7" spans="2:14" ht="20.100000000000001" customHeight="1">
      <c r="D7" s="522"/>
      <c r="E7" s="523"/>
      <c r="F7" s="512" t="str">
        <f>VLOOKUP(B6,Resumo_Composições,3,FALSE)</f>
        <v xml:space="preserve">FRESAGEM DESCONTINUA </v>
      </c>
      <c r="G7" s="519"/>
      <c r="H7" s="519"/>
      <c r="I7" s="519"/>
      <c r="J7" s="519"/>
      <c r="K7" s="519"/>
      <c r="L7" s="513"/>
      <c r="M7" s="24" t="str">
        <f>VLOOKUP(B6,Resumo_Composições,4,FALSE)</f>
        <v>M3</v>
      </c>
      <c r="N7" s="25">
        <f>DATA</f>
        <v>41214</v>
      </c>
    </row>
    <row r="8" spans="2:14" ht="20.100000000000001" customHeight="1">
      <c r="D8" s="568" t="s">
        <v>77</v>
      </c>
      <c r="E8" s="569"/>
      <c r="F8" s="569"/>
      <c r="G8" s="569"/>
      <c r="H8" s="499"/>
      <c r="I8" s="514" t="s">
        <v>78</v>
      </c>
      <c r="J8" s="535" t="s">
        <v>79</v>
      </c>
      <c r="K8" s="536"/>
      <c r="L8" s="535" t="s">
        <v>80</v>
      </c>
      <c r="M8" s="536"/>
      <c r="N8" s="516" t="s">
        <v>81</v>
      </c>
    </row>
    <row r="9" spans="2:14" ht="20.100000000000001" customHeight="1">
      <c r="D9" s="541"/>
      <c r="E9" s="570"/>
      <c r="F9" s="570"/>
      <c r="G9" s="570"/>
      <c r="H9" s="501"/>
      <c r="I9" s="515"/>
      <c r="J9" s="34" t="s">
        <v>82</v>
      </c>
      <c r="K9" s="34" t="s">
        <v>83</v>
      </c>
      <c r="L9" s="34" t="s">
        <v>82</v>
      </c>
      <c r="M9" s="34" t="s">
        <v>84</v>
      </c>
      <c r="N9" s="517"/>
    </row>
    <row r="10" spans="2:14" ht="20.100000000000001" customHeight="1">
      <c r="B10" s="260" t="s">
        <v>277</v>
      </c>
      <c r="D10" s="35" t="str">
        <f>IF(B10=0,0,VLOOKUP(B10,EQUIP,3,FALSE))</f>
        <v>FRESADORA À FRIO - 297 KW</v>
      </c>
      <c r="E10" s="36"/>
      <c r="F10" s="36"/>
      <c r="G10" s="36"/>
      <c r="H10" s="37"/>
      <c r="I10" s="215">
        <v>1</v>
      </c>
      <c r="J10" s="38">
        <v>1</v>
      </c>
      <c r="K10" s="38">
        <f>1-J10</f>
        <v>0</v>
      </c>
      <c r="L10" s="215">
        <f>IF(B10=0,0,VLOOKUP(B10,EQUIP,6,FALSE))</f>
        <v>699.49300000000005</v>
      </c>
      <c r="M10" s="38">
        <f>IF(B10=0,0,VLOOKUP(B10,EQUIP,7,FALSE))</f>
        <v>23.67</v>
      </c>
      <c r="N10" s="269">
        <f>ROUND(I10*J10*L10+I10*K10*M10,2)</f>
        <v>699.49</v>
      </c>
    </row>
    <row r="11" spans="2:14" ht="20.100000000000001" customHeight="1">
      <c r="B11" s="260" t="s">
        <v>267</v>
      </c>
      <c r="D11" s="35" t="str">
        <f>IF(B11=0,0,VLOOKUP(B11,EQUIP,3,FALSE))</f>
        <v>CARREGADEIRA DE PNEU C/ VASSOURA</v>
      </c>
      <c r="E11" s="36"/>
      <c r="F11" s="36"/>
      <c r="G11" s="36"/>
      <c r="H11" s="37"/>
      <c r="I11" s="215">
        <v>1</v>
      </c>
      <c r="J11" s="39">
        <v>0.3</v>
      </c>
      <c r="K11" s="38">
        <f>1-J11</f>
        <v>0.7</v>
      </c>
      <c r="L11" s="215">
        <f>IF(B11=0,0,VLOOKUP(B11,EQUIP,6,FALSE))</f>
        <v>54.1</v>
      </c>
      <c r="M11" s="38">
        <f>IF(B11=0,0,VLOOKUP(B11,EQUIP,7,FALSE))</f>
        <v>22.39</v>
      </c>
      <c r="N11" s="269">
        <f>ROUND(I11*J11*L11+I11*K11*M11,2)</f>
        <v>31.9</v>
      </c>
    </row>
    <row r="12" spans="2:14" ht="20.100000000000001" customHeight="1">
      <c r="B12" s="260" t="s">
        <v>261</v>
      </c>
      <c r="D12" s="35" t="str">
        <f>IF(B12=0,0,VLOOKUP(B12,EQUIP,3,FALSE))</f>
        <v>CAMINHÃO BASCULANTE (PARA TRANSPORTE DO MAT.FRESADO)</v>
      </c>
      <c r="E12" s="36"/>
      <c r="F12" s="36"/>
      <c r="G12" s="36"/>
      <c r="H12" s="37"/>
      <c r="I12" s="55">
        <v>1.04</v>
      </c>
      <c r="J12" s="39">
        <v>1</v>
      </c>
      <c r="K12" s="38">
        <f>1-J12</f>
        <v>0</v>
      </c>
      <c r="L12" s="215">
        <f>IF(B12=0,0,VLOOKUP(B12,EQUIP,6,FALSE))</f>
        <v>108.89</v>
      </c>
      <c r="M12" s="38">
        <f>IF(B12=0,0,VLOOKUP(B12,EQUIP,7,FALSE))</f>
        <v>20.47</v>
      </c>
      <c r="N12" s="269">
        <f>ROUND(I12*J12*L12+I12*K12*M12,2)</f>
        <v>113.25</v>
      </c>
    </row>
    <row r="13" spans="2:14" ht="20.100000000000001" customHeight="1">
      <c r="B13" s="260" t="s">
        <v>266</v>
      </c>
      <c r="D13" s="35" t="str">
        <f>IF(B13=0,0,VLOOKUP(B13,EQUIP,3,FALSE))</f>
        <v>CAMINHÃO TANQUE 6.000 L</v>
      </c>
      <c r="E13" s="36"/>
      <c r="F13" s="36"/>
      <c r="G13" s="36"/>
      <c r="H13" s="37"/>
      <c r="I13" s="215">
        <v>1</v>
      </c>
      <c r="J13" s="38">
        <v>0.3</v>
      </c>
      <c r="K13" s="38">
        <f>1-J13</f>
        <v>0.7</v>
      </c>
      <c r="L13" s="215">
        <f>IF(B13=0,0,VLOOKUP(B13,EQUIP,6,FALSE))</f>
        <v>86.35</v>
      </c>
      <c r="M13" s="38">
        <f>IF(B13=0,0,VLOOKUP(B13,EQUIP,7,FALSE))</f>
        <v>20.47</v>
      </c>
      <c r="N13" s="269">
        <f>ROUND(I13*J13*L13+I13*K13*M13,2)</f>
        <v>40.229999999999997</v>
      </c>
    </row>
    <row r="14" spans="2:14" ht="20.100000000000001" customHeight="1">
      <c r="D14" s="40"/>
      <c r="E14" s="41"/>
      <c r="F14" s="41"/>
      <c r="G14" s="41"/>
      <c r="H14" s="41"/>
      <c r="I14" s="216"/>
      <c r="J14" s="41"/>
      <c r="K14" s="41"/>
      <c r="L14" s="216"/>
      <c r="M14" s="42" t="s">
        <v>89</v>
      </c>
      <c r="N14" s="270">
        <f>SUM(N10:N13)</f>
        <v>884.87</v>
      </c>
    </row>
    <row r="15" spans="2:14" ht="3.95" customHeight="1">
      <c r="D15" s="43"/>
      <c r="E15" s="44"/>
      <c r="F15" s="44"/>
      <c r="G15" s="45"/>
      <c r="H15" s="44"/>
      <c r="I15" s="217"/>
      <c r="J15" s="46"/>
      <c r="K15" s="47"/>
      <c r="L15" s="48"/>
      <c r="M15" s="48"/>
      <c r="N15" s="271"/>
    </row>
    <row r="16" spans="2:14" ht="20.100000000000001" customHeight="1">
      <c r="D16" s="518" t="s">
        <v>90</v>
      </c>
      <c r="E16" s="519"/>
      <c r="F16" s="519"/>
      <c r="G16" s="519"/>
      <c r="H16" s="519"/>
      <c r="I16" s="519"/>
      <c r="J16" s="513"/>
      <c r="K16" s="50" t="s">
        <v>91</v>
      </c>
      <c r="L16" s="51" t="s">
        <v>92</v>
      </c>
      <c r="M16" s="51" t="s">
        <v>93</v>
      </c>
      <c r="N16" s="272" t="s">
        <v>94</v>
      </c>
    </row>
    <row r="17" spans="2:16" ht="20.100000000000001" customHeight="1">
      <c r="B17" s="260" t="s">
        <v>247</v>
      </c>
      <c r="D17" s="52" t="str">
        <f>IF(B17=0,0,VLOOKUP(B17,MO,2,FALSE))</f>
        <v>ENCARREGADO DE TURMA</v>
      </c>
      <c r="E17" s="53"/>
      <c r="F17" s="53"/>
      <c r="G17" s="53"/>
      <c r="H17" s="53"/>
      <c r="I17" s="36"/>
      <c r="J17" s="54"/>
      <c r="K17" s="39"/>
      <c r="L17" s="55">
        <v>1</v>
      </c>
      <c r="M17" s="55">
        <f>IF(B17=0,0,VLOOKUP(B17,MO,6,FALSE))</f>
        <v>27</v>
      </c>
      <c r="N17" s="273">
        <f>ROUND(L17*M17,2)</f>
        <v>27</v>
      </c>
    </row>
    <row r="18" spans="2:16" ht="20.100000000000001" customHeight="1">
      <c r="B18" s="260" t="s">
        <v>248</v>
      </c>
      <c r="D18" s="52" t="str">
        <f>IF(B18=0,0,VLOOKUP(B18,MO,2,FALSE))</f>
        <v>SERVENTE</v>
      </c>
      <c r="E18" s="53"/>
      <c r="F18" s="53"/>
      <c r="G18" s="53"/>
      <c r="H18" s="53"/>
      <c r="I18" s="36"/>
      <c r="J18" s="54"/>
      <c r="K18" s="39"/>
      <c r="L18" s="55">
        <v>8</v>
      </c>
      <c r="M18" s="55">
        <f>IF(B18=0,0,VLOOKUP(B18,MO,6,FALSE))</f>
        <v>7.9973000000000001</v>
      </c>
      <c r="N18" s="273">
        <f>ROUND(L18*M18,2)</f>
        <v>63.98</v>
      </c>
    </row>
    <row r="19" spans="2:16" ht="20.100000000000001" customHeight="1">
      <c r="B19" s="260"/>
      <c r="D19" s="52" t="s">
        <v>97</v>
      </c>
      <c r="E19" s="53"/>
      <c r="F19" s="53"/>
      <c r="G19" s="53"/>
      <c r="H19" s="53"/>
      <c r="I19" s="36"/>
      <c r="J19" s="54"/>
      <c r="K19" s="56">
        <v>0.05</v>
      </c>
      <c r="L19" s="57">
        <f>N17+N18</f>
        <v>90.97999999999999</v>
      </c>
      <c r="M19" s="55"/>
      <c r="N19" s="274">
        <f>ROUND(K19*L19,2)</f>
        <v>4.55</v>
      </c>
    </row>
    <row r="20" spans="2:16" ht="20.100000000000001" customHeight="1">
      <c r="D20" s="58"/>
      <c r="E20" s="59"/>
      <c r="F20" s="60"/>
      <c r="G20" s="60"/>
      <c r="H20" s="44"/>
      <c r="I20" s="217"/>
      <c r="J20" s="61"/>
      <c r="K20" s="47"/>
      <c r="L20" s="48"/>
      <c r="M20" s="62" t="s">
        <v>98</v>
      </c>
      <c r="N20" s="270">
        <f>SUM(N17:N19)</f>
        <v>95.529999999999987</v>
      </c>
    </row>
    <row r="21" spans="2:16" ht="3.95" customHeight="1">
      <c r="D21" s="40"/>
      <c r="E21" s="46"/>
      <c r="F21" s="46"/>
      <c r="G21" s="46"/>
      <c r="H21" s="44"/>
      <c r="I21" s="217"/>
      <c r="J21" s="61"/>
      <c r="K21" s="47"/>
      <c r="L21" s="48"/>
      <c r="M21" s="48"/>
      <c r="N21" s="271"/>
    </row>
    <row r="22" spans="2:16" ht="20.100000000000001" customHeight="1">
      <c r="D22" s="40"/>
      <c r="E22" s="60"/>
      <c r="F22" s="60"/>
      <c r="G22" s="60"/>
      <c r="H22" s="63"/>
      <c r="I22" s="218"/>
      <c r="J22" s="63"/>
      <c r="K22" s="558" t="s">
        <v>99</v>
      </c>
      <c r="L22" s="559"/>
      <c r="M22" s="560"/>
      <c r="N22" s="275">
        <f>+N14+N20</f>
        <v>980.4</v>
      </c>
    </row>
    <row r="23" spans="2:16" ht="3.95" customHeight="1">
      <c r="D23" s="64"/>
      <c r="E23" s="44"/>
      <c r="F23" s="44"/>
      <c r="G23" s="45"/>
      <c r="H23" s="44"/>
      <c r="I23" s="217"/>
      <c r="J23" s="46"/>
      <c r="K23" s="47"/>
      <c r="L23" s="48"/>
      <c r="M23" s="48"/>
      <c r="N23" s="271"/>
    </row>
    <row r="24" spans="2:16" ht="20.100000000000001" customHeight="1">
      <c r="D24" s="58"/>
      <c r="E24" s="509" t="s">
        <v>100</v>
      </c>
      <c r="F24" s="510"/>
      <c r="G24" s="510"/>
      <c r="H24" s="511"/>
      <c r="I24" s="219">
        <v>12</v>
      </c>
      <c r="J24" s="48"/>
      <c r="K24" s="551" t="s">
        <v>101</v>
      </c>
      <c r="L24" s="552"/>
      <c r="M24" s="552"/>
      <c r="N24" s="276">
        <f>ROUND(N22/I24,2)</f>
        <v>81.7</v>
      </c>
      <c r="P24" s="223"/>
    </row>
    <row r="25" spans="2:16" ht="3.95" customHeight="1">
      <c r="D25" s="43"/>
      <c r="E25" s="44"/>
      <c r="F25" s="44"/>
      <c r="G25" s="65"/>
      <c r="H25" s="44"/>
      <c r="I25" s="48"/>
      <c r="J25" s="46"/>
      <c r="K25" s="46"/>
      <c r="L25" s="48"/>
      <c r="M25" s="46"/>
      <c r="N25" s="277"/>
    </row>
    <row r="26" spans="2:16" ht="20.100000000000001" customHeight="1">
      <c r="D26" s="49" t="s">
        <v>102</v>
      </c>
      <c r="E26" s="22"/>
      <c r="F26" s="22"/>
      <c r="G26" s="22"/>
      <c r="H26" s="22"/>
      <c r="I26" s="141"/>
      <c r="J26" s="23"/>
      <c r="K26" s="50" t="s">
        <v>103</v>
      </c>
      <c r="L26" s="51" t="s">
        <v>80</v>
      </c>
      <c r="M26" s="51" t="s">
        <v>104</v>
      </c>
      <c r="N26" s="272" t="s">
        <v>105</v>
      </c>
    </row>
    <row r="27" spans="2:16" ht="20.100000000000001" customHeight="1">
      <c r="B27" s="260" t="s">
        <v>307</v>
      </c>
      <c r="D27" s="52" t="str">
        <f>IF(B27=0,0,VLOOKUP(B27,MAT,3,FALSE))</f>
        <v>DENTE PARA FRESADORA 2000 DC</v>
      </c>
      <c r="E27" s="53"/>
      <c r="F27" s="53"/>
      <c r="G27" s="53"/>
      <c r="H27" s="53"/>
      <c r="I27" s="36"/>
      <c r="J27" s="54"/>
      <c r="K27" s="66" t="str">
        <f>IF(B27=0,0,VLOOKUP(B27,MAT,5,FALSE))</f>
        <v>UND</v>
      </c>
      <c r="L27" s="55">
        <f>IF(B27=0,0,VLOOKUP(B27,MAT,6,FALSE))</f>
        <v>40.53</v>
      </c>
      <c r="M27" s="68">
        <f>0.293833333333333*2</f>
        <v>0.587666666666666</v>
      </c>
      <c r="N27" s="273">
        <f>L27*M27</f>
        <v>23.818129999999975</v>
      </c>
    </row>
    <row r="28" spans="2:16" ht="20.100000000000001" customHeight="1">
      <c r="B28" s="260" t="s">
        <v>318</v>
      </c>
      <c r="D28" s="52" t="str">
        <f>IF(B28=0,0,VLOOKUP(B28,MAT,3,FALSE))</f>
        <v>PORTA DENTE PARA FRESADORA 2000 DC</v>
      </c>
      <c r="E28" s="53"/>
      <c r="F28" s="53"/>
      <c r="G28" s="53"/>
      <c r="H28" s="53"/>
      <c r="I28" s="36"/>
      <c r="J28" s="54"/>
      <c r="K28" s="66" t="str">
        <f>IF(B28=0,0,VLOOKUP(B28,MAT,5,FALSE))</f>
        <v>UND</v>
      </c>
      <c r="L28" s="55">
        <f>IF(B28=0,0,VLOOKUP(B28,MAT,6,FALSE))</f>
        <v>202.71</v>
      </c>
      <c r="M28" s="69">
        <f>0.0171666666666667*2</f>
        <v>3.4333333333333403E-2</v>
      </c>
      <c r="N28" s="273">
        <f>L28*M28</f>
        <v>6.9597100000000145</v>
      </c>
    </row>
    <row r="29" spans="2:16" ht="20.100000000000001" customHeight="1">
      <c r="B29" s="260" t="s">
        <v>302</v>
      </c>
      <c r="D29" s="52" t="str">
        <f>IF(B29=0,0,VLOOKUP(B29,MAT,3,FALSE))</f>
        <v>APOIO DO PORTA DENTE DA FRESADORA 2000 DC</v>
      </c>
      <c r="E29" s="53"/>
      <c r="F29" s="53"/>
      <c r="G29" s="53"/>
      <c r="H29" s="53"/>
      <c r="I29" s="36"/>
      <c r="J29" s="54"/>
      <c r="K29" s="66" t="str">
        <f>IF(B29=0,0,VLOOKUP(B29,MAT,5,FALSE))</f>
        <v>UND</v>
      </c>
      <c r="L29" s="55">
        <f>IF(B29=0,0,VLOOKUP(B29,MAT,6,FALSE))</f>
        <v>1378.1378000000002</v>
      </c>
      <c r="M29" s="70">
        <f>0.00283333333333333*2</f>
        <v>5.6666666666666601E-3</v>
      </c>
      <c r="N29" s="273">
        <f>L29*M29</f>
        <v>7.8094475333333255</v>
      </c>
    </row>
    <row r="30" spans="2:16" ht="20.100000000000001" customHeight="1">
      <c r="D30" s="43"/>
      <c r="E30" s="44"/>
      <c r="F30" s="44"/>
      <c r="G30" s="65"/>
      <c r="H30" s="44"/>
      <c r="I30" s="48"/>
      <c r="J30" s="46"/>
      <c r="K30" s="46"/>
      <c r="L30" s="48"/>
      <c r="M30" s="71" t="s">
        <v>106</v>
      </c>
      <c r="N30" s="270">
        <f>SUM(N27:N29)</f>
        <v>38.587287533333317</v>
      </c>
    </row>
    <row r="31" spans="2:16" ht="3.95" customHeight="1">
      <c r="D31" s="43"/>
      <c r="E31" s="44"/>
      <c r="F31" s="44"/>
      <c r="G31" s="65"/>
      <c r="H31" s="44"/>
      <c r="I31" s="48"/>
      <c r="J31" s="46"/>
      <c r="K31" s="46"/>
      <c r="L31" s="48"/>
      <c r="M31" s="46"/>
      <c r="N31" s="277"/>
    </row>
    <row r="32" spans="2:16" ht="20.100000000000001" customHeight="1">
      <c r="D32" s="527" t="s">
        <v>107</v>
      </c>
      <c r="E32" s="72" t="s">
        <v>2</v>
      </c>
      <c r="F32" s="73"/>
      <c r="G32" s="73"/>
      <c r="H32" s="74"/>
      <c r="I32" s="498" t="s">
        <v>108</v>
      </c>
      <c r="J32" s="499"/>
      <c r="K32" s="531" t="s">
        <v>103</v>
      </c>
      <c r="L32" s="514" t="s">
        <v>80</v>
      </c>
      <c r="M32" s="531" t="s">
        <v>109</v>
      </c>
      <c r="N32" s="529" t="s">
        <v>105</v>
      </c>
    </row>
    <row r="33" spans="2:14" ht="20.100000000000001" customHeight="1">
      <c r="D33" s="528"/>
      <c r="E33" s="512" t="s">
        <v>110</v>
      </c>
      <c r="F33" s="513"/>
      <c r="G33" s="512" t="s">
        <v>111</v>
      </c>
      <c r="H33" s="513"/>
      <c r="I33" s="500"/>
      <c r="J33" s="501"/>
      <c r="K33" s="532"/>
      <c r="L33" s="515"/>
      <c r="M33" s="532"/>
      <c r="N33" s="530"/>
    </row>
    <row r="34" spans="2:14" ht="20.100000000000001" customHeight="1">
      <c r="B34" s="260" t="s">
        <v>542</v>
      </c>
      <c r="D34" s="407" t="str">
        <f>IF(B34=0,0,VLOOKUP(B34,TRANS,3,FALSE))</f>
        <v>TRANSP. DE MAT. FRESAGEM</v>
      </c>
      <c r="E34" s="504">
        <f>IF(B34=0,0,VLOOKUP(B34,TRANS,5,FALSE))</f>
        <v>0.33</v>
      </c>
      <c r="F34" s="505"/>
      <c r="G34" s="577"/>
      <c r="H34" s="578"/>
      <c r="I34" s="504">
        <f>IF(B34=0,0,VLOOKUP(B34,TRANS,6,FALSE))</f>
        <v>25</v>
      </c>
      <c r="J34" s="505"/>
      <c r="K34" s="408" t="str">
        <f>IF(B34=0,0,VLOOKUP(B34,TRANS,4,FALSE))</f>
        <v>T/KM</v>
      </c>
      <c r="L34" s="411">
        <f>E34*I34</f>
        <v>8.25</v>
      </c>
      <c r="M34" s="412">
        <v>2.4</v>
      </c>
      <c r="N34" s="410">
        <f>ROUND(L34*M34,2)</f>
        <v>19.8</v>
      </c>
    </row>
    <row r="35" spans="2:14" ht="20.100000000000001" customHeight="1">
      <c r="B35" s="260"/>
      <c r="D35" s="261">
        <f>IF(B35=0,0,VLOOKUP(B35,TRANS,3,FALSE))</f>
        <v>0</v>
      </c>
      <c r="E35" s="581">
        <f>IF(B35=0,0,VLOOKUP(B35,TRANS,5,FALSE))</f>
        <v>0</v>
      </c>
      <c r="F35" s="582"/>
      <c r="G35" s="577"/>
      <c r="H35" s="578"/>
      <c r="I35" s="581"/>
      <c r="J35" s="582"/>
      <c r="K35" s="262">
        <f>IF(B35=0,0,VLOOKUP(B35,TRANS,4,FALSE))</f>
        <v>0</v>
      </c>
      <c r="L35" s="67"/>
      <c r="M35" s="68"/>
      <c r="N35" s="278"/>
    </row>
    <row r="36" spans="2:14" ht="19.5" customHeight="1">
      <c r="D36" s="76"/>
      <c r="E36" s="77"/>
      <c r="F36" s="44"/>
      <c r="G36" s="65"/>
      <c r="H36" s="44"/>
      <c r="I36" s="48"/>
      <c r="J36" s="46"/>
      <c r="K36" s="46"/>
      <c r="L36" s="48"/>
      <c r="M36" s="71" t="s">
        <v>112</v>
      </c>
      <c r="N36" s="270">
        <f>SUM(N34:N35)</f>
        <v>19.8</v>
      </c>
    </row>
    <row r="37" spans="2:14" ht="3.95" customHeight="1" thickBot="1">
      <c r="D37" s="76"/>
      <c r="E37" s="44"/>
      <c r="F37" s="65"/>
      <c r="G37" s="44"/>
      <c r="H37" s="46"/>
      <c r="I37" s="48"/>
      <c r="J37" s="46"/>
      <c r="K37" s="46"/>
      <c r="L37" s="48"/>
      <c r="M37" s="46"/>
      <c r="N37" s="277"/>
    </row>
    <row r="38" spans="2:14" ht="20.100000000000001" customHeight="1">
      <c r="D38" s="414"/>
      <c r="E38" s="109"/>
      <c r="F38" s="109"/>
      <c r="G38" s="109"/>
      <c r="H38" s="108"/>
      <c r="I38" s="579" t="s">
        <v>113</v>
      </c>
      <c r="J38" s="580"/>
      <c r="K38" s="415"/>
      <c r="L38" s="416"/>
      <c r="M38" s="417"/>
      <c r="N38" s="418">
        <f>+N24+N30+N36</f>
        <v>140.08728753333332</v>
      </c>
    </row>
    <row r="39" spans="2:14" ht="20.100000000000001" customHeight="1">
      <c r="D39" s="40"/>
      <c r="E39" s="65"/>
      <c r="F39" s="65"/>
      <c r="G39" s="65"/>
      <c r="H39" s="44"/>
      <c r="I39" s="220" t="s">
        <v>114</v>
      </c>
      <c r="J39" s="79"/>
      <c r="K39" s="80"/>
      <c r="L39" s="353">
        <v>0.02</v>
      </c>
      <c r="M39" s="78"/>
      <c r="N39" s="279">
        <f>L39*N38</f>
        <v>2.8017457506666665</v>
      </c>
    </row>
    <row r="40" spans="2:14" ht="20.100000000000001" customHeight="1">
      <c r="D40" s="40"/>
      <c r="E40" s="46"/>
      <c r="F40" s="46"/>
      <c r="G40" s="46"/>
      <c r="H40" s="46"/>
      <c r="I40" s="221" t="s">
        <v>115</v>
      </c>
      <c r="J40" s="79"/>
      <c r="K40" s="82"/>
      <c r="L40" s="353">
        <f>DI</f>
        <v>0.26700000000000002</v>
      </c>
      <c r="M40" s="83"/>
      <c r="N40" s="279">
        <f>(N38+N39)*L40</f>
        <v>38.151371886828002</v>
      </c>
    </row>
    <row r="41" spans="2:14" ht="20.100000000000001" customHeight="1" thickBot="1">
      <c r="D41" s="84"/>
      <c r="E41" s="85"/>
      <c r="F41" s="85"/>
      <c r="G41" s="85"/>
      <c r="H41" s="85"/>
      <c r="I41" s="222" t="s">
        <v>2</v>
      </c>
      <c r="J41" s="87"/>
      <c r="K41" s="88"/>
      <c r="L41" s="280"/>
      <c r="M41" s="89"/>
      <c r="N41" s="281">
        <f>SUM(N38:N40)</f>
        <v>181.040405170828</v>
      </c>
    </row>
    <row r="42" spans="2:14" ht="20.100000000000001" customHeight="1">
      <c r="D42" s="197"/>
    </row>
    <row r="44" spans="2:14" ht="20.100000000000001" customHeight="1" thickBot="1"/>
    <row r="45" spans="2:14" ht="20.100000000000001" customHeight="1">
      <c r="B45" s="197" t="s">
        <v>185</v>
      </c>
      <c r="D45" s="520" t="s">
        <v>535</v>
      </c>
      <c r="E45" s="521"/>
      <c r="F45" s="542" t="s">
        <v>74</v>
      </c>
      <c r="G45" s="543"/>
      <c r="H45" s="543"/>
      <c r="I45" s="543"/>
      <c r="J45" s="543"/>
      <c r="K45" s="543"/>
      <c r="L45" s="544"/>
      <c r="M45" s="19" t="s">
        <v>75</v>
      </c>
      <c r="N45" s="20" t="s">
        <v>76</v>
      </c>
    </row>
    <row r="46" spans="2:14" ht="37.5" customHeight="1">
      <c r="D46" s="522"/>
      <c r="E46" s="523"/>
      <c r="F46" s="574" t="str">
        <f>VLOOKUP(B45,Resumo_Composições,3,FALSE)</f>
        <v>CONCRETO BETUMINOSO USINADO A QUENTE - CAPA DE ROLAMENTO (construção)</v>
      </c>
      <c r="G46" s="575"/>
      <c r="H46" s="575"/>
      <c r="I46" s="575"/>
      <c r="J46" s="575"/>
      <c r="K46" s="575"/>
      <c r="L46" s="576"/>
      <c r="M46" s="24" t="str">
        <f>VLOOKUP(B45,Resumo_Composições,4,FALSE)</f>
        <v>TON</v>
      </c>
      <c r="N46" s="25">
        <f>DATA</f>
        <v>41214</v>
      </c>
    </row>
    <row r="47" spans="2:14" ht="20.100000000000001" customHeight="1">
      <c r="D47" s="561" t="s">
        <v>77</v>
      </c>
      <c r="E47" s="562"/>
      <c r="F47" s="562"/>
      <c r="G47" s="562"/>
      <c r="H47" s="536"/>
      <c r="I47" s="51" t="s">
        <v>78</v>
      </c>
      <c r="J47" s="535" t="s">
        <v>79</v>
      </c>
      <c r="K47" s="536"/>
      <c r="L47" s="535" t="s">
        <v>80</v>
      </c>
      <c r="M47" s="536"/>
      <c r="N47" s="516" t="s">
        <v>81</v>
      </c>
    </row>
    <row r="48" spans="2:14" ht="20.100000000000001" customHeight="1">
      <c r="D48" s="31"/>
      <c r="E48" s="32"/>
      <c r="F48" s="32"/>
      <c r="G48" s="32"/>
      <c r="H48" s="33"/>
      <c r="I48" s="34"/>
      <c r="J48" s="34" t="s">
        <v>82</v>
      </c>
      <c r="K48" s="34" t="s">
        <v>83</v>
      </c>
      <c r="L48" s="34" t="s">
        <v>82</v>
      </c>
      <c r="M48" s="34" t="s">
        <v>84</v>
      </c>
      <c r="N48" s="517"/>
    </row>
    <row r="49" spans="2:14" ht="20.100000000000001" customHeight="1">
      <c r="B49" s="260" t="s">
        <v>292</v>
      </c>
      <c r="D49" s="35" t="str">
        <f t="shared" ref="D49:D54" si="0">IF(B49=0,0,VLOOKUP(B49,EQUIP,3,FALSE))</f>
        <v>TRATOR AGRICOLA (77 KW)</v>
      </c>
      <c r="E49" s="91"/>
      <c r="F49" s="91"/>
      <c r="G49" s="91"/>
      <c r="H49" s="92"/>
      <c r="I49" s="215">
        <v>1</v>
      </c>
      <c r="J49" s="38">
        <v>0.15</v>
      </c>
      <c r="K49" s="38">
        <f t="shared" ref="K49:K54" si="1">1-J49</f>
        <v>0.85</v>
      </c>
      <c r="L49" s="215">
        <f t="shared" ref="L49:L54" si="2">IF(B49=0,0,VLOOKUP(B49,EQUIP,6,FALSE))</f>
        <v>65.799899999999994</v>
      </c>
      <c r="M49" s="38">
        <f t="shared" ref="M49:M54" si="3">IF(B49=0,0,VLOOKUP(B49,EQUIP,7,FALSE))</f>
        <v>17.27</v>
      </c>
      <c r="N49" s="269">
        <f t="shared" ref="N49:N54" si="4">ROUND(I49*J49*L49+I49*K49*M49,2)</f>
        <v>24.55</v>
      </c>
    </row>
    <row r="50" spans="2:14" ht="20.100000000000001" customHeight="1">
      <c r="B50" s="260" t="s">
        <v>288</v>
      </c>
      <c r="D50" s="35" t="str">
        <f t="shared" si="0"/>
        <v>ROLO COMPACTADOR TANDEM VIBRAT. AUTOPROPO. 10,9 T (112 KW)</v>
      </c>
      <c r="E50" s="91"/>
      <c r="F50" s="91"/>
      <c r="G50" s="91"/>
      <c r="H50" s="92"/>
      <c r="I50" s="224">
        <v>1</v>
      </c>
      <c r="J50" s="38">
        <v>0.55000000000000004</v>
      </c>
      <c r="K50" s="38">
        <f t="shared" si="1"/>
        <v>0.44999999999999996</v>
      </c>
      <c r="L50" s="215">
        <f t="shared" si="2"/>
        <v>112.07</v>
      </c>
      <c r="M50" s="38">
        <f t="shared" si="3"/>
        <v>17.27</v>
      </c>
      <c r="N50" s="269">
        <f t="shared" si="4"/>
        <v>69.41</v>
      </c>
    </row>
    <row r="51" spans="2:14" ht="20.100000000000001" customHeight="1">
      <c r="B51" s="260" t="s">
        <v>285</v>
      </c>
      <c r="D51" s="35" t="str">
        <f t="shared" si="0"/>
        <v>ROLO COMPACTADOR DE PNEUS 21 t (97 KW)</v>
      </c>
      <c r="E51" s="91"/>
      <c r="F51" s="91"/>
      <c r="G51" s="91"/>
      <c r="H51" s="92"/>
      <c r="I51" s="224">
        <v>1</v>
      </c>
      <c r="J51" s="38">
        <v>0.55000000000000004</v>
      </c>
      <c r="K51" s="38">
        <f t="shared" si="1"/>
        <v>0.44999999999999996</v>
      </c>
      <c r="L51" s="215">
        <f t="shared" si="2"/>
        <v>96.39</v>
      </c>
      <c r="M51" s="38">
        <f t="shared" si="3"/>
        <v>17.27</v>
      </c>
      <c r="N51" s="269">
        <f t="shared" si="4"/>
        <v>60.79</v>
      </c>
    </row>
    <row r="52" spans="2:14" ht="20.100000000000001" customHeight="1">
      <c r="B52" s="260" t="s">
        <v>296</v>
      </c>
      <c r="D52" s="35" t="str">
        <f t="shared" si="0"/>
        <v>VASSOURA MECÂNICA REBOCÁVEL</v>
      </c>
      <c r="E52" s="36"/>
      <c r="F52" s="36"/>
      <c r="G52" s="36"/>
      <c r="H52" s="37"/>
      <c r="I52" s="215">
        <v>1</v>
      </c>
      <c r="J52" s="38">
        <v>0.15</v>
      </c>
      <c r="K52" s="38">
        <f t="shared" si="1"/>
        <v>0.85</v>
      </c>
      <c r="L52" s="215">
        <f t="shared" si="2"/>
        <v>3.83</v>
      </c>
      <c r="M52" s="38">
        <f t="shared" si="3"/>
        <v>0</v>
      </c>
      <c r="N52" s="269">
        <f t="shared" si="4"/>
        <v>0.56999999999999995</v>
      </c>
    </row>
    <row r="53" spans="2:14" ht="20.100000000000001" customHeight="1">
      <c r="B53" s="260" t="s">
        <v>297</v>
      </c>
      <c r="D53" s="35" t="str">
        <f t="shared" si="0"/>
        <v>VIBRO ACABADORA ASFALTO B.GREENE</v>
      </c>
      <c r="E53" s="36"/>
      <c r="F53" s="36"/>
      <c r="G53" s="36"/>
      <c r="H53" s="37"/>
      <c r="I53" s="215">
        <v>1</v>
      </c>
      <c r="J53" s="38">
        <v>0.65</v>
      </c>
      <c r="K53" s="38">
        <f t="shared" si="1"/>
        <v>0.35</v>
      </c>
      <c r="L53" s="215">
        <f t="shared" si="2"/>
        <v>357.07</v>
      </c>
      <c r="M53" s="38">
        <f t="shared" si="3"/>
        <v>227.45358999999999</v>
      </c>
      <c r="N53" s="269">
        <f t="shared" si="4"/>
        <v>311.7</v>
      </c>
    </row>
    <row r="54" spans="2:14" ht="20.100000000000001" customHeight="1">
      <c r="B54" s="260" t="s">
        <v>262</v>
      </c>
      <c r="D54" s="35" t="str">
        <f t="shared" si="0"/>
        <v>CAMINHÃO BASCULANTE 10m3 - 15 T (170 KW)</v>
      </c>
      <c r="E54" s="36"/>
      <c r="F54" s="36"/>
      <c r="G54" s="36"/>
      <c r="H54" s="37"/>
      <c r="I54" s="224">
        <v>1.7</v>
      </c>
      <c r="J54" s="38">
        <v>0.65</v>
      </c>
      <c r="K54" s="38">
        <f t="shared" si="1"/>
        <v>0.35</v>
      </c>
      <c r="L54" s="215">
        <f t="shared" si="2"/>
        <v>135.83000000000001</v>
      </c>
      <c r="M54" s="38">
        <f t="shared" si="3"/>
        <v>20.47</v>
      </c>
      <c r="N54" s="269">
        <f t="shared" si="4"/>
        <v>162.27000000000001</v>
      </c>
    </row>
    <row r="55" spans="2:14" ht="20.100000000000001" customHeight="1">
      <c r="B55" s="260"/>
      <c r="D55" s="93"/>
      <c r="E55" s="94"/>
      <c r="F55" s="94"/>
      <c r="G55" s="94"/>
      <c r="H55" s="95"/>
      <c r="I55" s="215"/>
      <c r="J55" s="38"/>
      <c r="K55" s="38"/>
      <c r="L55" s="57"/>
      <c r="M55" s="39"/>
      <c r="N55" s="269"/>
    </row>
    <row r="56" spans="2:14" ht="20.100000000000001" customHeight="1">
      <c r="D56" s="40"/>
      <c r="E56" s="41"/>
      <c r="F56" s="41"/>
      <c r="G56" s="41"/>
      <c r="H56" s="41"/>
      <c r="I56" s="216"/>
      <c r="J56" s="41"/>
      <c r="K56" s="41"/>
      <c r="L56" s="216"/>
      <c r="M56" s="42" t="s">
        <v>89</v>
      </c>
      <c r="N56" s="270">
        <f>SUM(N49:N54)</f>
        <v>629.29</v>
      </c>
    </row>
    <row r="57" spans="2:14" ht="3.95" customHeight="1">
      <c r="D57" s="43"/>
      <c r="E57" s="44"/>
      <c r="F57" s="44"/>
      <c r="G57" s="45"/>
      <c r="H57" s="44"/>
      <c r="I57" s="217"/>
      <c r="J57" s="46"/>
      <c r="K57" s="47"/>
      <c r="L57" s="48"/>
      <c r="M57" s="48"/>
      <c r="N57" s="271"/>
    </row>
    <row r="58" spans="2:14" ht="20.100000000000001" customHeight="1">
      <c r="D58" s="518" t="s">
        <v>90</v>
      </c>
      <c r="E58" s="519"/>
      <c r="F58" s="519"/>
      <c r="G58" s="519"/>
      <c r="H58" s="519"/>
      <c r="I58" s="519"/>
      <c r="J58" s="513"/>
      <c r="K58" s="50" t="s">
        <v>91</v>
      </c>
      <c r="L58" s="51" t="s">
        <v>92</v>
      </c>
      <c r="M58" s="51" t="s">
        <v>93</v>
      </c>
      <c r="N58" s="272" t="s">
        <v>94</v>
      </c>
    </row>
    <row r="59" spans="2:14" ht="20.100000000000001" customHeight="1">
      <c r="B59" s="260" t="s">
        <v>250</v>
      </c>
      <c r="D59" s="52" t="str">
        <f>IF(B59=0,0,VLOOKUP(B59,MO,2,FALSE))</f>
        <v>ENCARREGADO DE PAVIMENTAÇÃO</v>
      </c>
      <c r="E59" s="53"/>
      <c r="F59" s="53"/>
      <c r="G59" s="53"/>
      <c r="H59" s="53"/>
      <c r="I59" s="36"/>
      <c r="J59" s="54"/>
      <c r="K59" s="39"/>
      <c r="L59" s="55">
        <v>1</v>
      </c>
      <c r="M59" s="55">
        <f>IF(B59=0,0,VLOOKUP(B59,MO,6,FALSE))</f>
        <v>44.786799999999999</v>
      </c>
      <c r="N59" s="273">
        <f>ROUND(L59*M59,2)</f>
        <v>44.79</v>
      </c>
    </row>
    <row r="60" spans="2:14" ht="20.100000000000001" customHeight="1">
      <c r="B60" s="260" t="s">
        <v>248</v>
      </c>
      <c r="D60" s="52" t="str">
        <f>IF(B60=0,0,VLOOKUP(B60,MO,2,FALSE))</f>
        <v>SERVENTE</v>
      </c>
      <c r="E60" s="53"/>
      <c r="F60" s="53"/>
      <c r="G60" s="53"/>
      <c r="H60" s="53"/>
      <c r="I60" s="36"/>
      <c r="J60" s="54"/>
      <c r="K60" s="39"/>
      <c r="L60" s="55">
        <v>6</v>
      </c>
      <c r="M60" s="55">
        <f>IF(B60=0,0,VLOOKUP(B60,MO,6,FALSE))</f>
        <v>7.9973000000000001</v>
      </c>
      <c r="N60" s="273">
        <f>ROUND(L60*M60,2)</f>
        <v>47.98</v>
      </c>
    </row>
    <row r="61" spans="2:14" ht="20.100000000000001" customHeight="1">
      <c r="B61" s="260"/>
      <c r="D61" s="52" t="s">
        <v>122</v>
      </c>
      <c r="E61" s="53"/>
      <c r="F61" s="53"/>
      <c r="G61" s="53"/>
      <c r="H61" s="53"/>
      <c r="I61" s="36"/>
      <c r="J61" s="54"/>
      <c r="K61" s="56">
        <v>0</v>
      </c>
      <c r="L61" s="57">
        <f>N59+N60</f>
        <v>92.77</v>
      </c>
      <c r="M61" s="55"/>
      <c r="N61" s="445">
        <f>ROUND(L61*K61,2)</f>
        <v>0</v>
      </c>
    </row>
    <row r="62" spans="2:14" ht="20.100000000000001" customHeight="1">
      <c r="D62" s="58"/>
      <c r="E62" s="59"/>
      <c r="F62" s="60"/>
      <c r="G62" s="60"/>
      <c r="H62" s="44"/>
      <c r="I62" s="217"/>
      <c r="J62" s="61"/>
      <c r="K62" s="47"/>
      <c r="L62" s="48"/>
      <c r="M62" s="62" t="s">
        <v>98</v>
      </c>
      <c r="N62" s="270">
        <f>SUM(N59:N61)</f>
        <v>92.77</v>
      </c>
    </row>
    <row r="63" spans="2:14" ht="3.95" customHeight="1">
      <c r="D63" s="43"/>
      <c r="E63" s="44"/>
      <c r="F63" s="44"/>
      <c r="G63" s="44"/>
      <c r="H63" s="44"/>
      <c r="I63" s="217"/>
      <c r="J63" s="61"/>
      <c r="K63" s="47"/>
      <c r="L63" s="48"/>
      <c r="M63" s="48"/>
      <c r="N63" s="271"/>
    </row>
    <row r="64" spans="2:14" ht="20.100000000000001" customHeight="1">
      <c r="D64" s="40"/>
      <c r="E64" s="60"/>
      <c r="F64" s="60"/>
      <c r="G64" s="60"/>
      <c r="H64" s="63"/>
      <c r="I64" s="218"/>
      <c r="J64" s="63"/>
      <c r="K64" s="509" t="s">
        <v>99</v>
      </c>
      <c r="L64" s="510"/>
      <c r="M64" s="511"/>
      <c r="N64" s="275">
        <f>+N56+N62</f>
        <v>722.06</v>
      </c>
    </row>
    <row r="65" spans="2:16" ht="3.95" customHeight="1">
      <c r="D65" s="64"/>
      <c r="E65" s="44"/>
      <c r="F65" s="44"/>
      <c r="G65" s="45"/>
      <c r="H65" s="44"/>
      <c r="I65" s="217"/>
      <c r="J65" s="46"/>
      <c r="K65" s="47"/>
      <c r="L65" s="48"/>
      <c r="M65" s="48"/>
      <c r="N65" s="271"/>
    </row>
    <row r="66" spans="2:16" ht="20.100000000000001" customHeight="1">
      <c r="D66" s="58"/>
      <c r="E66" s="509" t="s">
        <v>100</v>
      </c>
      <c r="F66" s="510"/>
      <c r="G66" s="510"/>
      <c r="H66" s="511"/>
      <c r="I66" s="219">
        <v>75</v>
      </c>
      <c r="J66" s="48"/>
      <c r="K66" s="506" t="s">
        <v>101</v>
      </c>
      <c r="L66" s="507"/>
      <c r="M66" s="507"/>
      <c r="N66" s="276">
        <f>ROUND(N64/I66,2)</f>
        <v>9.6300000000000008</v>
      </c>
    </row>
    <row r="67" spans="2:16" ht="3.95" customHeight="1">
      <c r="D67" s="43"/>
      <c r="E67" s="44"/>
      <c r="F67" s="44"/>
      <c r="G67" s="65"/>
      <c r="H67" s="44"/>
      <c r="I67" s="48"/>
      <c r="J67" s="46"/>
      <c r="K67" s="46"/>
      <c r="L67" s="48"/>
      <c r="M67" s="46"/>
      <c r="N67" s="277"/>
    </row>
    <row r="68" spans="2:16" ht="20.100000000000001" customHeight="1">
      <c r="D68" s="49" t="s">
        <v>102</v>
      </c>
      <c r="E68" s="22"/>
      <c r="F68" s="22"/>
      <c r="G68" s="22"/>
      <c r="H68" s="22"/>
      <c r="I68" s="141"/>
      <c r="J68" s="23"/>
      <c r="K68" s="50" t="s">
        <v>103</v>
      </c>
      <c r="L68" s="51" t="s">
        <v>80</v>
      </c>
      <c r="M68" s="51" t="s">
        <v>104</v>
      </c>
      <c r="N68" s="272" t="s">
        <v>105</v>
      </c>
    </row>
    <row r="69" spans="2:16" ht="20.100000000000001" customHeight="1">
      <c r="B69" s="260" t="s">
        <v>306</v>
      </c>
      <c r="D69" s="52" t="str">
        <f>IF(B69=0,0,VLOOKUP(B69,MAT,3,FALSE))</f>
        <v>CBUQ - USINAGEM</v>
      </c>
      <c r="E69" s="53"/>
      <c r="F69" s="53"/>
      <c r="G69" s="53"/>
      <c r="H69" s="53"/>
      <c r="I69" s="36"/>
      <c r="J69" s="54"/>
      <c r="K69" s="66" t="str">
        <f>IF(B69=0,0,VLOOKUP(B69,MAT,5,FALSE))</f>
        <v>T</v>
      </c>
      <c r="L69" s="67">
        <f>IF(B69=0,0,VLOOKUP(B69,MAT,6,FALSE))</f>
        <v>40.11</v>
      </c>
      <c r="M69" s="68">
        <v>1</v>
      </c>
      <c r="N69" s="273">
        <f>ROUND(L69*M69,2)</f>
        <v>40.11</v>
      </c>
    </row>
    <row r="70" spans="2:16" ht="20.100000000000001" customHeight="1">
      <c r="B70" s="260" t="s">
        <v>305</v>
      </c>
      <c r="D70" s="52" t="str">
        <f>IF(B70=0,0,VLOOKUP(B70,MAT,3,FALSE))</f>
        <v>BRITA COMERCIAL</v>
      </c>
      <c r="E70" s="53"/>
      <c r="F70" s="53"/>
      <c r="G70" s="53"/>
      <c r="H70" s="53"/>
      <c r="I70" s="36"/>
      <c r="J70" s="54"/>
      <c r="K70" s="66" t="str">
        <f>IF(B70=0,0,VLOOKUP(B70,MAT,5,FALSE))</f>
        <v>M3</v>
      </c>
      <c r="L70" s="67">
        <f>IF(B70=0,0,VLOOKUP(B70,MAT,6,FALSE))</f>
        <v>30.630000000000003</v>
      </c>
      <c r="M70" s="68">
        <v>0.44700000000000001</v>
      </c>
      <c r="N70" s="278">
        <f>(L70*M70)</f>
        <v>13.691610000000001</v>
      </c>
    </row>
    <row r="71" spans="2:16" ht="20.100000000000001" customHeight="1">
      <c r="B71" s="260" t="s">
        <v>303</v>
      </c>
      <c r="D71" s="52" t="str">
        <f>IF(B71=0,0,VLOOKUP(B71,MAT,3,FALSE))</f>
        <v xml:space="preserve">AREIA </v>
      </c>
      <c r="E71" s="53"/>
      <c r="F71" s="53"/>
      <c r="G71" s="53"/>
      <c r="H71" s="53"/>
      <c r="I71" s="36"/>
      <c r="J71" s="54"/>
      <c r="K71" s="66" t="str">
        <f>IF(B71=0,0,VLOOKUP(B71,MAT,5,FALSE))</f>
        <v>M3</v>
      </c>
      <c r="L71" s="67">
        <f>IF(B71=0,0,VLOOKUP(B71,MAT,6,FALSE))</f>
        <v>23.28</v>
      </c>
      <c r="M71" s="68">
        <v>0.161</v>
      </c>
      <c r="N71" s="278">
        <f>(L71*M71)</f>
        <v>3.7480800000000003</v>
      </c>
    </row>
    <row r="72" spans="2:16" ht="20.100000000000001" customHeight="1">
      <c r="B72" s="260" t="s">
        <v>310</v>
      </c>
      <c r="D72" s="52" t="str">
        <f>IF(B72=0,0,VLOOKUP(B72,MAT,3,FALSE))</f>
        <v>FILLER</v>
      </c>
      <c r="E72" s="53"/>
      <c r="F72" s="53"/>
      <c r="G72" s="53"/>
      <c r="H72" s="53"/>
      <c r="I72" s="36"/>
      <c r="J72" s="54"/>
      <c r="K72" s="66" t="str">
        <f>IF(B72=0,0,VLOOKUP(B72,MAT,5,FALSE))</f>
        <v>KG</v>
      </c>
      <c r="L72" s="67">
        <f>IF(B72=0,0,VLOOKUP(B72,MAT,6,FALSE))</f>
        <v>0.05</v>
      </c>
      <c r="M72" s="68">
        <v>33</v>
      </c>
      <c r="N72" s="278">
        <f>(L72*M72)</f>
        <v>1.6500000000000001</v>
      </c>
    </row>
    <row r="73" spans="2:16" ht="20.100000000000001" customHeight="1">
      <c r="B73" s="260"/>
      <c r="D73" s="52"/>
      <c r="E73" s="53"/>
      <c r="F73" s="53"/>
      <c r="G73" s="53"/>
      <c r="H73" s="53"/>
      <c r="I73" s="36"/>
      <c r="J73" s="54"/>
      <c r="K73" s="66"/>
      <c r="L73" s="67"/>
      <c r="M73" s="75"/>
      <c r="N73" s="273"/>
    </row>
    <row r="74" spans="2:16" ht="20.100000000000001" customHeight="1">
      <c r="D74" s="43"/>
      <c r="E74" s="44"/>
      <c r="F74" s="44"/>
      <c r="G74" s="65"/>
      <c r="H74" s="44"/>
      <c r="I74" s="48"/>
      <c r="J74" s="46"/>
      <c r="K74" s="46"/>
      <c r="L74" s="48"/>
      <c r="M74" s="71" t="s">
        <v>106</v>
      </c>
      <c r="N74" s="270">
        <f>SUM(N69:N72)</f>
        <v>59.199689999999997</v>
      </c>
    </row>
    <row r="75" spans="2:16" ht="3.95" customHeight="1">
      <c r="D75" s="43"/>
      <c r="E75" s="44"/>
      <c r="F75" s="44"/>
      <c r="G75" s="65"/>
      <c r="H75" s="44"/>
      <c r="I75" s="48"/>
      <c r="J75" s="46"/>
      <c r="K75" s="46"/>
      <c r="L75" s="48"/>
      <c r="M75" s="46"/>
      <c r="N75" s="277"/>
    </row>
    <row r="76" spans="2:16" ht="20.100000000000001" customHeight="1">
      <c r="D76" s="527" t="s">
        <v>107</v>
      </c>
      <c r="E76" s="72" t="s">
        <v>2</v>
      </c>
      <c r="F76" s="73"/>
      <c r="G76" s="73"/>
      <c r="H76" s="74"/>
      <c r="I76" s="498" t="s">
        <v>108</v>
      </c>
      <c r="J76" s="499"/>
      <c r="K76" s="531" t="s">
        <v>103</v>
      </c>
      <c r="L76" s="514" t="s">
        <v>80</v>
      </c>
      <c r="M76" s="531" t="s">
        <v>109</v>
      </c>
      <c r="N76" s="529" t="s">
        <v>105</v>
      </c>
    </row>
    <row r="77" spans="2:16" ht="20.100000000000001" customHeight="1">
      <c r="D77" s="528"/>
      <c r="E77" s="512" t="s">
        <v>127</v>
      </c>
      <c r="F77" s="513"/>
      <c r="G77" s="512" t="s">
        <v>111</v>
      </c>
      <c r="H77" s="513"/>
      <c r="I77" s="500"/>
      <c r="J77" s="501"/>
      <c r="K77" s="532"/>
      <c r="L77" s="515"/>
      <c r="M77" s="532"/>
      <c r="N77" s="530"/>
    </row>
    <row r="78" spans="2:16" ht="20.100000000000001" customHeight="1">
      <c r="B78" s="260" t="s">
        <v>331</v>
      </c>
      <c r="D78" s="261" t="str">
        <f>IF(B78=0,0,VLOOKUP(B78,TRANS,3,FALSE))</f>
        <v xml:space="preserve">CBUQ </v>
      </c>
      <c r="E78" s="504">
        <f>IF(B78=0,0,VLOOKUP(B78,TRANS,5,FALSE))</f>
        <v>0.37</v>
      </c>
      <c r="F78" s="505"/>
      <c r="G78" s="553"/>
      <c r="H78" s="554"/>
      <c r="I78" s="504">
        <f>IF(B78=0,0,VLOOKUP(B78,TRANS,6,FALSE))</f>
        <v>25</v>
      </c>
      <c r="J78" s="505"/>
      <c r="K78" s="66" t="str">
        <f>IF(B78=0,0,VLOOKUP(B78,TRANS,4,FALSE))</f>
        <v>T.KM</v>
      </c>
      <c r="L78" s="67">
        <f>E78*I78</f>
        <v>9.25</v>
      </c>
      <c r="M78" s="68">
        <f>M69</f>
        <v>1</v>
      </c>
      <c r="N78" s="273">
        <f>ROUND(L78*M78,2)</f>
        <v>9.25</v>
      </c>
    </row>
    <row r="79" spans="2:16" ht="20.100000000000001" customHeight="1">
      <c r="B79" s="260" t="s">
        <v>328</v>
      </c>
      <c r="D79" s="261" t="str">
        <f>IF(B79=0,0,VLOOKUP(B79,TRANS,3,FALSE))</f>
        <v>BRITA ( PED - USINA )</v>
      </c>
      <c r="E79" s="504">
        <f>IF(B79=0,0,VLOOKUP(B79,TRANS,5,FALSE))</f>
        <v>0.33</v>
      </c>
      <c r="F79" s="505"/>
      <c r="G79" s="502"/>
      <c r="H79" s="503"/>
      <c r="I79" s="504">
        <f>IF(B79=0,0,VLOOKUP(B79,TRANS,6,FALSE))</f>
        <v>1</v>
      </c>
      <c r="J79" s="505"/>
      <c r="K79" s="66" t="str">
        <f>IF(B79=0,0,VLOOKUP(B79,TRANS,4,FALSE))</f>
        <v>T.KM</v>
      </c>
      <c r="L79" s="67">
        <f>(E79*I79)+H79</f>
        <v>0.33</v>
      </c>
      <c r="M79" s="68">
        <f>M70*1.5</f>
        <v>0.67049999999999998</v>
      </c>
      <c r="N79" s="278">
        <f>(L79*M79)</f>
        <v>0.22126500000000002</v>
      </c>
      <c r="P79" s="96"/>
    </row>
    <row r="80" spans="2:16" ht="20.100000000000001" customHeight="1">
      <c r="B80" s="260" t="s">
        <v>326</v>
      </c>
      <c r="D80" s="261" t="str">
        <f>IF(B80=0,0,VLOOKUP(B80,TRANS,3,FALSE))</f>
        <v>AREIA ( AREAL - USINA )</v>
      </c>
      <c r="E80" s="504">
        <f>IF(B80=0,0,VLOOKUP(B80,TRANS,5,FALSE))</f>
        <v>0.33</v>
      </c>
      <c r="F80" s="505"/>
      <c r="G80" s="545"/>
      <c r="H80" s="546"/>
      <c r="I80" s="504">
        <f>IF(B80=0,0,VLOOKUP(B80,TRANS,6,FALSE))</f>
        <v>65.06</v>
      </c>
      <c r="J80" s="505"/>
      <c r="K80" s="66" t="str">
        <f>IF(B80=0,0,VLOOKUP(B80,TRANS,4,FALSE))</f>
        <v>T.KM</v>
      </c>
      <c r="L80" s="67">
        <f>(E80*I80)+H80</f>
        <v>21.469800000000003</v>
      </c>
      <c r="M80" s="68">
        <f>M71*1.5</f>
        <v>0.24149999999999999</v>
      </c>
      <c r="N80" s="278">
        <f>(L80*M80)</f>
        <v>5.1849567000000008</v>
      </c>
    </row>
    <row r="81" spans="2:14" ht="20.100000000000001" customHeight="1">
      <c r="B81" s="260" t="s">
        <v>334</v>
      </c>
      <c r="D81" s="261" t="str">
        <f>IF(B81=0,0,VLOOKUP(B81,TRANS,3,FALSE))</f>
        <v>FILLER</v>
      </c>
      <c r="E81" s="504">
        <f>IF(B81=0,0,VLOOKUP(B81,TRANS,5,FALSE))</f>
        <v>0.24</v>
      </c>
      <c r="F81" s="505"/>
      <c r="G81" s="545"/>
      <c r="H81" s="546"/>
      <c r="I81" s="504">
        <f>IF(B81=0,0,VLOOKUP(B81,TRANS,6,FALSE))</f>
        <v>50</v>
      </c>
      <c r="J81" s="505"/>
      <c r="K81" s="263" t="str">
        <f>IF(B81=0,0,VLOOKUP(B81,TRANS,4,FALSE))</f>
        <v>T.KM</v>
      </c>
      <c r="L81" s="67">
        <f>(E81*I81)+H81</f>
        <v>12</v>
      </c>
      <c r="M81" s="70">
        <f>M72/1000</f>
        <v>3.3000000000000002E-2</v>
      </c>
      <c r="N81" s="278">
        <f>L81*M81</f>
        <v>0.39600000000000002</v>
      </c>
    </row>
    <row r="82" spans="2:14" ht="20.100000000000001" customHeight="1">
      <c r="D82" s="98"/>
      <c r="E82" s="99"/>
      <c r="F82" s="44"/>
      <c r="G82" s="65"/>
      <c r="H82" s="44"/>
      <c r="I82" s="48"/>
      <c r="J82" s="46"/>
      <c r="K82" s="46"/>
      <c r="L82" s="48"/>
      <c r="M82" s="71" t="s">
        <v>112</v>
      </c>
      <c r="N82" s="270">
        <f>SUM(N78:N81)</f>
        <v>15.052221700000002</v>
      </c>
    </row>
    <row r="83" spans="2:14" ht="3.95" customHeight="1">
      <c r="D83" s="98"/>
      <c r="E83" s="99"/>
      <c r="F83" s="44"/>
      <c r="G83" s="65"/>
      <c r="H83" s="44"/>
      <c r="I83" s="48"/>
      <c r="J83" s="46"/>
      <c r="K83" s="46"/>
      <c r="L83" s="48"/>
      <c r="M83" s="100"/>
      <c r="N83" s="282"/>
    </row>
    <row r="84" spans="2:14" ht="20.100000000000001" customHeight="1">
      <c r="D84" s="98"/>
      <c r="E84" s="99"/>
      <c r="F84" s="44"/>
      <c r="G84" s="65"/>
      <c r="H84" s="44"/>
      <c r="I84" s="48"/>
      <c r="J84" s="46"/>
      <c r="K84" s="565" t="s">
        <v>129</v>
      </c>
      <c r="L84" s="566"/>
      <c r="M84" s="567"/>
      <c r="N84" s="279">
        <f>+N66+N74+N82</f>
        <v>83.881911700000003</v>
      </c>
    </row>
    <row r="85" spans="2:14" ht="20.100000000000001" customHeight="1">
      <c r="D85" s="98"/>
      <c r="E85" s="99"/>
      <c r="F85" s="44"/>
      <c r="G85" s="65"/>
      <c r="H85" s="44"/>
      <c r="I85" s="48"/>
      <c r="J85" s="46"/>
      <c r="K85" s="81" t="s">
        <v>115</v>
      </c>
      <c r="L85" s="359">
        <f>DI</f>
        <v>0.26700000000000002</v>
      </c>
      <c r="M85" s="83"/>
      <c r="N85" s="279">
        <f>L85*N84</f>
        <v>22.396470423900002</v>
      </c>
    </row>
    <row r="86" spans="2:14" ht="20.100000000000001" customHeight="1" thickBot="1">
      <c r="D86" s="102"/>
      <c r="E86" s="103"/>
      <c r="F86" s="104"/>
      <c r="G86" s="105"/>
      <c r="H86" s="104"/>
      <c r="I86" s="225"/>
      <c r="J86" s="85"/>
      <c r="K86" s="86" t="s">
        <v>130</v>
      </c>
      <c r="L86" s="280"/>
      <c r="M86" s="89"/>
      <c r="N86" s="281">
        <f>N84+N85</f>
        <v>106.2783821239</v>
      </c>
    </row>
    <row r="87" spans="2:14" ht="3.95" customHeight="1">
      <c r="D87" s="106"/>
      <c r="E87" s="107"/>
      <c r="F87" s="108"/>
      <c r="G87" s="109"/>
      <c r="H87" s="108"/>
      <c r="I87" s="226"/>
      <c r="J87" s="110"/>
      <c r="K87" s="111"/>
      <c r="L87" s="284"/>
      <c r="M87" s="111"/>
      <c r="N87" s="285"/>
    </row>
    <row r="88" spans="2:14" ht="3.95" customHeight="1" thickBot="1">
      <c r="D88" s="102"/>
      <c r="E88" s="103"/>
      <c r="F88" s="104"/>
      <c r="G88" s="105"/>
      <c r="H88" s="104"/>
      <c r="I88" s="225"/>
      <c r="J88" s="85"/>
      <c r="K88" s="112"/>
      <c r="L88" s="286"/>
      <c r="M88" s="112"/>
      <c r="N88" s="287"/>
    </row>
    <row r="89" spans="2:14" ht="20.100000000000001" customHeight="1">
      <c r="D89" s="571" t="s">
        <v>131</v>
      </c>
      <c r="E89" s="572"/>
      <c r="F89" s="572"/>
      <c r="G89" s="572"/>
      <c r="H89" s="572"/>
      <c r="I89" s="572"/>
      <c r="J89" s="573"/>
      <c r="K89" s="113" t="s">
        <v>103</v>
      </c>
      <c r="L89" s="34" t="s">
        <v>80</v>
      </c>
      <c r="M89" s="34" t="s">
        <v>104</v>
      </c>
      <c r="N89" s="288" t="s">
        <v>105</v>
      </c>
    </row>
    <row r="90" spans="2:14" ht="20.100000000000001" customHeight="1">
      <c r="B90" s="260" t="s">
        <v>357</v>
      </c>
      <c r="D90" s="264" t="str">
        <f>IF(B90=0,0,VLOOKUP(B90,MAT_BET,3,FALSE))</f>
        <v>AQUISIÇÃO CAP -20</v>
      </c>
      <c r="E90" s="265"/>
      <c r="F90" s="265"/>
      <c r="G90" s="265"/>
      <c r="H90" s="265"/>
      <c r="I90" s="265"/>
      <c r="J90" s="266"/>
      <c r="K90" s="262" t="str">
        <f>IF(B90=0,0,VLOOKUP(B90,MAT_BET,4,FALSE))</f>
        <v>T</v>
      </c>
      <c r="L90" s="67">
        <f>IF(B90=0,0,VLOOKUP(B90,MAT_BET,5,FALSE))</f>
        <v>1132</v>
      </c>
      <c r="M90" s="68">
        <v>5.8000000000000003E-2</v>
      </c>
      <c r="N90" s="273">
        <f>ROUND(L90*M90,2)</f>
        <v>65.66</v>
      </c>
    </row>
    <row r="91" spans="2:14" ht="20.100000000000001" customHeight="1">
      <c r="D91" s="114"/>
      <c r="E91" s="59"/>
      <c r="F91" s="59"/>
      <c r="G91" s="59"/>
      <c r="H91" s="59"/>
      <c r="I91" s="91"/>
      <c r="J91" s="115"/>
      <c r="K91" s="81" t="s">
        <v>115</v>
      </c>
      <c r="L91" s="359">
        <f>DI</f>
        <v>0.26700000000000002</v>
      </c>
      <c r="M91" s="83"/>
      <c r="N91" s="279">
        <f>L91*N90</f>
        <v>17.531220000000001</v>
      </c>
    </row>
    <row r="92" spans="2:14" ht="20.100000000000001" customHeight="1">
      <c r="D92" s="76"/>
      <c r="E92" s="77"/>
      <c r="F92" s="77"/>
      <c r="G92" s="77"/>
      <c r="H92" s="77"/>
      <c r="I92" s="156"/>
      <c r="J92" s="116"/>
      <c r="K92" s="81" t="s">
        <v>132</v>
      </c>
      <c r="L92" s="289"/>
      <c r="M92" s="83"/>
      <c r="N92" s="279">
        <f>N90+N91</f>
        <v>83.191220000000001</v>
      </c>
    </row>
    <row r="93" spans="2:14" ht="20.100000000000001" customHeight="1">
      <c r="D93" s="117"/>
      <c r="E93" s="118"/>
      <c r="F93" s="118"/>
      <c r="G93" s="118"/>
      <c r="H93" s="118"/>
      <c r="I93" s="94"/>
      <c r="J93" s="119"/>
      <c r="K93" s="113" t="s">
        <v>103</v>
      </c>
      <c r="L93" s="34" t="s">
        <v>80</v>
      </c>
      <c r="M93" s="34" t="s">
        <v>104</v>
      </c>
      <c r="N93" s="288" t="s">
        <v>105</v>
      </c>
    </row>
    <row r="94" spans="2:14" ht="20.100000000000001" customHeight="1">
      <c r="B94" s="260" t="s">
        <v>363</v>
      </c>
      <c r="D94" s="264" t="str">
        <f>IF(B94=0,0,VLOOKUP(B94,MAT_BET,3,FALSE))</f>
        <v>TRANSPORTE CAP - 20</v>
      </c>
      <c r="E94" s="265"/>
      <c r="F94" s="265"/>
      <c r="G94" s="265"/>
      <c r="H94" s="265"/>
      <c r="I94" s="265"/>
      <c r="J94" s="266"/>
      <c r="K94" s="262" t="str">
        <f>IF(B94=0,0,VLOOKUP(B94,MAT_BET,4,FALSE))</f>
        <v>T</v>
      </c>
      <c r="L94" s="67">
        <f>IF(B94=0,0,VLOOKUP(B94,MAT_BET,5,FALSE))</f>
        <v>230.69</v>
      </c>
      <c r="M94" s="68">
        <v>5.8000000000000003E-2</v>
      </c>
      <c r="N94" s="278">
        <f>(L94*M94)</f>
        <v>13.38002</v>
      </c>
    </row>
    <row r="95" spans="2:14" ht="20.100000000000001" customHeight="1">
      <c r="D95" s="114"/>
      <c r="E95" s="59"/>
      <c r="F95" s="59"/>
      <c r="G95" s="59"/>
      <c r="H95" s="59"/>
      <c r="I95" s="91"/>
      <c r="J95" s="115"/>
      <c r="K95" s="81" t="s">
        <v>115</v>
      </c>
      <c r="L95" s="359">
        <f>DI</f>
        <v>0.26700000000000002</v>
      </c>
      <c r="M95" s="83"/>
      <c r="N95" s="279">
        <f>L95*N94</f>
        <v>3.5724653400000004</v>
      </c>
    </row>
    <row r="96" spans="2:14" ht="20.100000000000001" customHeight="1" thickBot="1">
      <c r="D96" s="76"/>
      <c r="E96" s="77"/>
      <c r="F96" s="77"/>
      <c r="G96" s="77"/>
      <c r="H96" s="77"/>
      <c r="I96" s="156"/>
      <c r="J96" s="116"/>
      <c r="K96" s="97" t="s">
        <v>133</v>
      </c>
      <c r="L96" s="290"/>
      <c r="M96" s="120"/>
      <c r="N96" s="291">
        <f>N94+N95</f>
        <v>16.952485339999999</v>
      </c>
    </row>
    <row r="97" spans="2:14" ht="20.100000000000001" customHeight="1" thickBot="1">
      <c r="D97" s="121"/>
      <c r="E97" s="122"/>
      <c r="F97" s="122"/>
      <c r="G97" s="123"/>
      <c r="H97" s="122"/>
      <c r="I97" s="227"/>
      <c r="J97" s="124"/>
      <c r="K97" s="549" t="s">
        <v>134</v>
      </c>
      <c r="L97" s="549"/>
      <c r="M97" s="550"/>
      <c r="N97" s="292">
        <f>N92+N96</f>
        <v>100.14370534</v>
      </c>
    </row>
    <row r="98" spans="2:14" ht="3.95" customHeight="1" thickBot="1">
      <c r="D98" s="43"/>
      <c r="E98" s="44"/>
      <c r="F98" s="44"/>
      <c r="G98" s="65"/>
      <c r="H98" s="44"/>
      <c r="I98" s="48"/>
      <c r="J98" s="46"/>
      <c r="K98" s="125"/>
      <c r="L98" s="293"/>
      <c r="M98" s="125"/>
      <c r="N98" s="282"/>
    </row>
    <row r="99" spans="2:14" ht="20.100000000000001" customHeight="1">
      <c r="D99" s="126"/>
      <c r="E99" s="108"/>
      <c r="F99" s="108"/>
      <c r="G99" s="109"/>
      <c r="H99" s="108"/>
      <c r="I99" s="228" t="s">
        <v>114</v>
      </c>
      <c r="J99" s="128"/>
      <c r="K99" s="128"/>
      <c r="L99" s="354">
        <v>0.02</v>
      </c>
      <c r="M99" s="129"/>
      <c r="N99" s="294">
        <f>(N84+N90+N94)*L99</f>
        <v>3.2584386340000004</v>
      </c>
    </row>
    <row r="100" spans="2:14" ht="20.100000000000001" customHeight="1">
      <c r="D100" s="43"/>
      <c r="E100" s="44"/>
      <c r="F100" s="44"/>
      <c r="G100" s="65"/>
      <c r="H100" s="44"/>
      <c r="I100" s="563" t="s">
        <v>135</v>
      </c>
      <c r="J100" s="564"/>
      <c r="K100" s="564"/>
      <c r="L100" s="564"/>
      <c r="M100" s="125"/>
      <c r="N100" s="282">
        <f>N84+N90+N94+N99</f>
        <v>166.180370334</v>
      </c>
    </row>
    <row r="101" spans="2:14" ht="20.100000000000001" customHeight="1" thickBot="1">
      <c r="D101" s="130"/>
      <c r="E101" s="104"/>
      <c r="F101" s="104"/>
      <c r="G101" s="105"/>
      <c r="H101" s="104"/>
      <c r="I101" s="537" t="s">
        <v>136</v>
      </c>
      <c r="J101" s="538"/>
      <c r="K101" s="538"/>
      <c r="L101" s="538"/>
      <c r="M101" s="131"/>
      <c r="N101" s="295">
        <f>N100*2.4</f>
        <v>398.83288880160001</v>
      </c>
    </row>
    <row r="102" spans="2:14" ht="3.95" customHeight="1" thickBot="1">
      <c r="D102" s="98"/>
      <c r="E102" s="99"/>
      <c r="F102" s="44"/>
      <c r="G102" s="65"/>
      <c r="H102" s="44"/>
      <c r="I102" s="48"/>
      <c r="J102" s="46"/>
      <c r="K102" s="46"/>
      <c r="L102" s="48"/>
      <c r="M102" s="100"/>
      <c r="N102" s="282"/>
    </row>
    <row r="103" spans="2:14" ht="20.100000000000001" customHeight="1">
      <c r="D103" s="133"/>
      <c r="E103" s="134"/>
      <c r="F103" s="134"/>
      <c r="G103" s="134"/>
      <c r="H103" s="134"/>
      <c r="I103" s="229" t="s">
        <v>137</v>
      </c>
      <c r="J103" s="135"/>
      <c r="K103" s="135"/>
      <c r="L103" s="354">
        <f>DI</f>
        <v>0.26700000000000002</v>
      </c>
      <c r="M103" s="136"/>
      <c r="N103" s="294">
        <f>(N100*L91)+N100</f>
        <v>210.55052921317801</v>
      </c>
    </row>
    <row r="104" spans="2:14" ht="20.100000000000001" customHeight="1" thickBot="1">
      <c r="D104" s="137"/>
      <c r="E104" s="138"/>
      <c r="F104" s="138"/>
      <c r="G104" s="138"/>
      <c r="H104" s="138"/>
      <c r="I104" s="230" t="s">
        <v>138</v>
      </c>
      <c r="J104" s="139"/>
      <c r="K104" s="139"/>
      <c r="L104" s="358">
        <f>DI</f>
        <v>0.26700000000000002</v>
      </c>
      <c r="M104" s="140"/>
      <c r="N104" s="295">
        <f>N103</f>
        <v>210.55052921317801</v>
      </c>
    </row>
    <row r="107" spans="2:14" ht="20.100000000000001" customHeight="1" thickBot="1"/>
    <row r="108" spans="2:14" ht="20.100000000000001" customHeight="1">
      <c r="B108" s="197" t="s">
        <v>186</v>
      </c>
      <c r="D108" s="520"/>
      <c r="E108" s="521"/>
      <c r="F108" s="542" t="s">
        <v>74</v>
      </c>
      <c r="G108" s="543"/>
      <c r="H108" s="543"/>
      <c r="I108" s="543"/>
      <c r="J108" s="543"/>
      <c r="K108" s="543"/>
      <c r="L108" s="544"/>
      <c r="M108" s="19" t="s">
        <v>75</v>
      </c>
      <c r="N108" s="20" t="s">
        <v>76</v>
      </c>
    </row>
    <row r="109" spans="2:14" ht="34.5" customHeight="1">
      <c r="D109" s="522"/>
      <c r="E109" s="523"/>
      <c r="F109" s="574" t="str">
        <f>VLOOKUP(B108,Resumo_Composições,3,FALSE)</f>
        <v>CONCRETO BETUMINOSO USINADO A QUENTE - CAPA DE ROLAMENTO (restauração)</v>
      </c>
      <c r="G109" s="575"/>
      <c r="H109" s="575"/>
      <c r="I109" s="575"/>
      <c r="J109" s="575"/>
      <c r="K109" s="575"/>
      <c r="L109" s="576"/>
      <c r="M109" s="24" t="str">
        <f>VLOOKUP(B108,Resumo_Composições,4,FALSE)</f>
        <v>TON</v>
      </c>
      <c r="N109" s="25">
        <f>DATA</f>
        <v>41214</v>
      </c>
    </row>
    <row r="110" spans="2:14" ht="20.100000000000001" customHeight="1">
      <c r="D110" s="561" t="s">
        <v>77</v>
      </c>
      <c r="E110" s="562"/>
      <c r="F110" s="562"/>
      <c r="G110" s="562"/>
      <c r="H110" s="536"/>
      <c r="I110" s="51" t="s">
        <v>78</v>
      </c>
      <c r="J110" s="535" t="s">
        <v>79</v>
      </c>
      <c r="K110" s="536"/>
      <c r="L110" s="535" t="s">
        <v>80</v>
      </c>
      <c r="M110" s="536"/>
      <c r="N110" s="516" t="s">
        <v>81</v>
      </c>
    </row>
    <row r="111" spans="2:14" ht="20.100000000000001" customHeight="1">
      <c r="D111" s="31"/>
      <c r="E111" s="32"/>
      <c r="F111" s="32"/>
      <c r="G111" s="32"/>
      <c r="H111" s="33"/>
      <c r="I111" s="34"/>
      <c r="J111" s="34" t="s">
        <v>82</v>
      </c>
      <c r="K111" s="34" t="s">
        <v>83</v>
      </c>
      <c r="L111" s="34" t="s">
        <v>82</v>
      </c>
      <c r="M111" s="34" t="s">
        <v>84</v>
      </c>
      <c r="N111" s="517"/>
    </row>
    <row r="112" spans="2:14" ht="20.100000000000001" customHeight="1">
      <c r="B112" s="260" t="s">
        <v>292</v>
      </c>
      <c r="D112" s="35" t="str">
        <f t="shared" ref="D112:D117" si="5">IF(B112=0,0,VLOOKUP(B112,EQUIP,3,FALSE))</f>
        <v>TRATOR AGRICOLA (77 KW)</v>
      </c>
      <c r="E112" s="91"/>
      <c r="F112" s="91"/>
      <c r="G112" s="91"/>
      <c r="H112" s="92"/>
      <c r="I112" s="215">
        <v>1</v>
      </c>
      <c r="J112" s="38">
        <v>0.15</v>
      </c>
      <c r="K112" s="38">
        <f t="shared" ref="K112:K117" si="6">1-J112</f>
        <v>0.85</v>
      </c>
      <c r="L112" s="215">
        <f t="shared" ref="L112:L117" si="7">IF(B112=0,0,VLOOKUP(B112,EQUIP,6,FALSE))</f>
        <v>65.799899999999994</v>
      </c>
      <c r="M112" s="38">
        <f t="shared" ref="M112:M117" si="8">IF(B112=0,0,VLOOKUP(B112,EQUIP,7,FALSE))</f>
        <v>17.27</v>
      </c>
      <c r="N112" s="269">
        <f t="shared" ref="N112:N117" si="9">ROUND(I112*J112*L112+I112*K112*M112,2)</f>
        <v>24.55</v>
      </c>
    </row>
    <row r="113" spans="2:14" ht="20.100000000000001" customHeight="1">
      <c r="B113" s="260" t="s">
        <v>288</v>
      </c>
      <c r="D113" s="35" t="str">
        <f t="shared" si="5"/>
        <v>ROLO COMPACTADOR TANDEM VIBRAT. AUTOPROPO. 10,9 T (112 KW)</v>
      </c>
      <c r="E113" s="91"/>
      <c r="F113" s="91"/>
      <c r="G113" s="91"/>
      <c r="H113" s="92"/>
      <c r="I113" s="224">
        <v>1</v>
      </c>
      <c r="J113" s="38">
        <v>0.55000000000000004</v>
      </c>
      <c r="K113" s="38">
        <f t="shared" si="6"/>
        <v>0.44999999999999996</v>
      </c>
      <c r="L113" s="215">
        <f t="shared" si="7"/>
        <v>112.07</v>
      </c>
      <c r="M113" s="38">
        <f t="shared" si="8"/>
        <v>17.27</v>
      </c>
      <c r="N113" s="269">
        <f t="shared" si="9"/>
        <v>69.41</v>
      </c>
    </row>
    <row r="114" spans="2:14" ht="20.100000000000001" customHeight="1">
      <c r="B114" s="260" t="s">
        <v>285</v>
      </c>
      <c r="D114" s="35" t="str">
        <f t="shared" si="5"/>
        <v>ROLO COMPACTADOR DE PNEUS 21 t (97 KW)</v>
      </c>
      <c r="E114" s="91"/>
      <c r="F114" s="91"/>
      <c r="G114" s="91"/>
      <c r="H114" s="92"/>
      <c r="I114" s="224">
        <v>1</v>
      </c>
      <c r="J114" s="38">
        <v>0.55000000000000004</v>
      </c>
      <c r="K114" s="38">
        <f t="shared" si="6"/>
        <v>0.44999999999999996</v>
      </c>
      <c r="L114" s="215">
        <f t="shared" si="7"/>
        <v>96.39</v>
      </c>
      <c r="M114" s="38">
        <f t="shared" si="8"/>
        <v>17.27</v>
      </c>
      <c r="N114" s="269">
        <f t="shared" si="9"/>
        <v>60.79</v>
      </c>
    </row>
    <row r="115" spans="2:14" ht="20.100000000000001" customHeight="1">
      <c r="B115" s="260" t="s">
        <v>296</v>
      </c>
      <c r="D115" s="35" t="str">
        <f t="shared" si="5"/>
        <v>VASSOURA MECÂNICA REBOCÁVEL</v>
      </c>
      <c r="E115" s="36"/>
      <c r="F115" s="36"/>
      <c r="G115" s="36"/>
      <c r="H115" s="37"/>
      <c r="I115" s="215">
        <v>1</v>
      </c>
      <c r="J115" s="38">
        <v>0.15</v>
      </c>
      <c r="K115" s="38">
        <f t="shared" si="6"/>
        <v>0.85</v>
      </c>
      <c r="L115" s="215">
        <f t="shared" si="7"/>
        <v>3.83</v>
      </c>
      <c r="M115" s="38">
        <f t="shared" si="8"/>
        <v>0</v>
      </c>
      <c r="N115" s="269">
        <f t="shared" si="9"/>
        <v>0.56999999999999995</v>
      </c>
    </row>
    <row r="116" spans="2:14" ht="20.100000000000001" customHeight="1">
      <c r="B116" s="260" t="s">
        <v>297</v>
      </c>
      <c r="D116" s="35" t="str">
        <f t="shared" si="5"/>
        <v>VIBRO ACABADORA ASFALTO B.GREENE</v>
      </c>
      <c r="E116" s="36"/>
      <c r="F116" s="36"/>
      <c r="G116" s="36"/>
      <c r="H116" s="37"/>
      <c r="I116" s="215">
        <v>1</v>
      </c>
      <c r="J116" s="38">
        <v>0.65</v>
      </c>
      <c r="K116" s="38">
        <f t="shared" si="6"/>
        <v>0.35</v>
      </c>
      <c r="L116" s="215">
        <f t="shared" si="7"/>
        <v>357.07</v>
      </c>
      <c r="M116" s="38">
        <f t="shared" si="8"/>
        <v>227.45358999999999</v>
      </c>
      <c r="N116" s="269">
        <f t="shared" si="9"/>
        <v>311.7</v>
      </c>
    </row>
    <row r="117" spans="2:14" ht="20.100000000000001" customHeight="1">
      <c r="B117" s="260" t="s">
        <v>262</v>
      </c>
      <c r="D117" s="35" t="str">
        <f t="shared" si="5"/>
        <v>CAMINHÃO BASCULANTE 10m3 - 15 T (170 KW)</v>
      </c>
      <c r="E117" s="36"/>
      <c r="F117" s="36"/>
      <c r="G117" s="36"/>
      <c r="H117" s="37"/>
      <c r="I117" s="224">
        <v>1.7</v>
      </c>
      <c r="J117" s="38">
        <v>0.65</v>
      </c>
      <c r="K117" s="38">
        <f t="shared" si="6"/>
        <v>0.35</v>
      </c>
      <c r="L117" s="215">
        <f t="shared" si="7"/>
        <v>135.83000000000001</v>
      </c>
      <c r="M117" s="38">
        <f t="shared" si="8"/>
        <v>20.47</v>
      </c>
      <c r="N117" s="269">
        <f t="shared" si="9"/>
        <v>162.27000000000001</v>
      </c>
    </row>
    <row r="118" spans="2:14" ht="20.100000000000001" customHeight="1">
      <c r="B118" s="260"/>
      <c r="D118" s="93"/>
      <c r="E118" s="94"/>
      <c r="F118" s="94"/>
      <c r="G118" s="94"/>
      <c r="H118" s="95"/>
      <c r="I118" s="215"/>
      <c r="J118" s="38"/>
      <c r="K118" s="38"/>
      <c r="L118" s="57"/>
      <c r="M118" s="39"/>
      <c r="N118" s="269"/>
    </row>
    <row r="119" spans="2:14" ht="20.100000000000001" customHeight="1">
      <c r="D119" s="40"/>
      <c r="E119" s="41"/>
      <c r="F119" s="41"/>
      <c r="G119" s="41"/>
      <c r="H119" s="41"/>
      <c r="I119" s="216"/>
      <c r="J119" s="41"/>
      <c r="K119" s="41"/>
      <c r="L119" s="216"/>
      <c r="M119" s="42" t="s">
        <v>89</v>
      </c>
      <c r="N119" s="270">
        <f>SUM(N112:N117)</f>
        <v>629.29</v>
      </c>
    </row>
    <row r="120" spans="2:14" ht="3.95" customHeight="1">
      <c r="D120" s="43"/>
      <c r="E120" s="44"/>
      <c r="F120" s="44"/>
      <c r="G120" s="45"/>
      <c r="H120" s="44"/>
      <c r="I120" s="217"/>
      <c r="J120" s="46"/>
      <c r="K120" s="47"/>
      <c r="L120" s="48"/>
      <c r="M120" s="48"/>
      <c r="N120" s="271"/>
    </row>
    <row r="121" spans="2:14" ht="20.100000000000001" customHeight="1">
      <c r="D121" s="518" t="s">
        <v>90</v>
      </c>
      <c r="E121" s="519"/>
      <c r="F121" s="519"/>
      <c r="G121" s="519"/>
      <c r="H121" s="519"/>
      <c r="I121" s="519"/>
      <c r="J121" s="513"/>
      <c r="K121" s="50" t="s">
        <v>91</v>
      </c>
      <c r="L121" s="51" t="s">
        <v>92</v>
      </c>
      <c r="M121" s="51" t="s">
        <v>93</v>
      </c>
      <c r="N121" s="272" t="s">
        <v>94</v>
      </c>
    </row>
    <row r="122" spans="2:14" ht="20.100000000000001" customHeight="1">
      <c r="B122" s="260" t="s">
        <v>250</v>
      </c>
      <c r="D122" s="52" t="str">
        <f>IF(B122=0,0,VLOOKUP(B122,MO,2,FALSE))</f>
        <v>ENCARREGADO DE PAVIMENTAÇÃO</v>
      </c>
      <c r="E122" s="53"/>
      <c r="F122" s="53"/>
      <c r="G122" s="53"/>
      <c r="H122" s="53"/>
      <c r="I122" s="36"/>
      <c r="J122" s="54"/>
      <c r="K122" s="39"/>
      <c r="L122" s="55">
        <v>1</v>
      </c>
      <c r="M122" s="55">
        <f>IF(B122=0,0,VLOOKUP(B122,MO,6,FALSE))</f>
        <v>44.786799999999999</v>
      </c>
      <c r="N122" s="273">
        <f>ROUND(L122*M122,2)</f>
        <v>44.79</v>
      </c>
    </row>
    <row r="123" spans="2:14" ht="20.100000000000001" customHeight="1">
      <c r="B123" s="260" t="s">
        <v>248</v>
      </c>
      <c r="D123" s="52" t="str">
        <f>IF(B123=0,0,VLOOKUP(B123,MO,2,FALSE))</f>
        <v>SERVENTE</v>
      </c>
      <c r="E123" s="53"/>
      <c r="F123" s="53"/>
      <c r="G123" s="53"/>
      <c r="H123" s="53"/>
      <c r="I123" s="36"/>
      <c r="J123" s="54"/>
      <c r="K123" s="39"/>
      <c r="L123" s="55">
        <v>6</v>
      </c>
      <c r="M123" s="55">
        <f>IF(B123=0,0,VLOOKUP(B123,MO,6,FALSE))</f>
        <v>7.9973000000000001</v>
      </c>
      <c r="N123" s="273">
        <f>ROUND(L123*M123,2)</f>
        <v>47.98</v>
      </c>
    </row>
    <row r="124" spans="2:14" ht="20.100000000000001" customHeight="1">
      <c r="B124" s="260"/>
      <c r="D124" s="52" t="s">
        <v>122</v>
      </c>
      <c r="E124" s="53"/>
      <c r="F124" s="53"/>
      <c r="G124" s="53"/>
      <c r="H124" s="53"/>
      <c r="I124" s="36"/>
      <c r="J124" s="54"/>
      <c r="K124" s="56">
        <v>0</v>
      </c>
      <c r="L124" s="57">
        <f>N122+N123</f>
        <v>92.77</v>
      </c>
      <c r="M124" s="55"/>
      <c r="N124" s="445">
        <f>ROUND(L124*K124,2)</f>
        <v>0</v>
      </c>
    </row>
    <row r="125" spans="2:14" ht="20.100000000000001" customHeight="1">
      <c r="D125" s="58"/>
      <c r="E125" s="59"/>
      <c r="F125" s="60"/>
      <c r="G125" s="60"/>
      <c r="H125" s="44"/>
      <c r="I125" s="217"/>
      <c r="J125" s="61"/>
      <c r="K125" s="47"/>
      <c r="L125" s="48"/>
      <c r="M125" s="62" t="s">
        <v>98</v>
      </c>
      <c r="N125" s="270">
        <f>SUM(N122:N124)</f>
        <v>92.77</v>
      </c>
    </row>
    <row r="126" spans="2:14" ht="3.95" customHeight="1">
      <c r="D126" s="43"/>
      <c r="E126" s="44"/>
      <c r="F126" s="44"/>
      <c r="G126" s="44"/>
      <c r="H126" s="44"/>
      <c r="I126" s="217"/>
      <c r="J126" s="61"/>
      <c r="K126" s="47"/>
      <c r="L126" s="48"/>
      <c r="M126" s="48"/>
      <c r="N126" s="271"/>
    </row>
    <row r="127" spans="2:14" ht="20.100000000000001" customHeight="1">
      <c r="D127" s="40"/>
      <c r="E127" s="60"/>
      <c r="F127" s="60"/>
      <c r="G127" s="60"/>
      <c r="H127" s="63"/>
      <c r="I127" s="218"/>
      <c r="J127" s="63"/>
      <c r="K127" s="509" t="s">
        <v>99</v>
      </c>
      <c r="L127" s="510"/>
      <c r="M127" s="511"/>
      <c r="N127" s="275">
        <f>+N119+N125</f>
        <v>722.06</v>
      </c>
    </row>
    <row r="128" spans="2:14" ht="3.95" customHeight="1">
      <c r="D128" s="64"/>
      <c r="E128" s="44"/>
      <c r="F128" s="44"/>
      <c r="G128" s="45"/>
      <c r="H128" s="44"/>
      <c r="I128" s="217"/>
      <c r="J128" s="46"/>
      <c r="K128" s="47"/>
      <c r="L128" s="48"/>
      <c r="M128" s="48"/>
      <c r="N128" s="271"/>
    </row>
    <row r="129" spans="2:14" ht="20.100000000000001" customHeight="1">
      <c r="D129" s="58"/>
      <c r="E129" s="509" t="s">
        <v>100</v>
      </c>
      <c r="F129" s="510"/>
      <c r="G129" s="510"/>
      <c r="H129" s="511"/>
      <c r="I129" s="219">
        <v>75</v>
      </c>
      <c r="J129" s="48"/>
      <c r="K129" s="506" t="s">
        <v>101</v>
      </c>
      <c r="L129" s="507"/>
      <c r="M129" s="507"/>
      <c r="N129" s="276">
        <f>ROUND(N127/I129,2)</f>
        <v>9.6300000000000008</v>
      </c>
    </row>
    <row r="130" spans="2:14" ht="3.95" customHeight="1">
      <c r="D130" s="43"/>
      <c r="E130" s="44"/>
      <c r="F130" s="44"/>
      <c r="G130" s="65"/>
      <c r="H130" s="44"/>
      <c r="I130" s="48"/>
      <c r="J130" s="46"/>
      <c r="K130" s="46"/>
      <c r="L130" s="48"/>
      <c r="M130" s="46"/>
      <c r="N130" s="277"/>
    </row>
    <row r="131" spans="2:14" ht="20.100000000000001" customHeight="1">
      <c r="D131" s="49" t="s">
        <v>102</v>
      </c>
      <c r="E131" s="22"/>
      <c r="F131" s="22"/>
      <c r="G131" s="22"/>
      <c r="H131" s="22"/>
      <c r="I131" s="141"/>
      <c r="J131" s="23"/>
      <c r="K131" s="50" t="s">
        <v>103</v>
      </c>
      <c r="L131" s="51" t="s">
        <v>80</v>
      </c>
      <c r="M131" s="51" t="s">
        <v>104</v>
      </c>
      <c r="N131" s="272" t="s">
        <v>105</v>
      </c>
    </row>
    <row r="132" spans="2:14" ht="20.100000000000001" customHeight="1">
      <c r="B132" s="260" t="s">
        <v>306</v>
      </c>
      <c r="D132" s="52" t="str">
        <f>IF(B132=0,0,VLOOKUP(B132,MAT,3,FALSE))</f>
        <v>CBUQ - USINAGEM</v>
      </c>
      <c r="E132" s="53"/>
      <c r="F132" s="53"/>
      <c r="G132" s="53"/>
      <c r="H132" s="53"/>
      <c r="I132" s="36"/>
      <c r="J132" s="54"/>
      <c r="K132" s="66" t="str">
        <f>IF(B132=0,0,VLOOKUP(B132,MAT,5,FALSE))</f>
        <v>T</v>
      </c>
      <c r="L132" s="67">
        <f>IF(B132=0,0,VLOOKUP(B132,MAT,6,FALSE))</f>
        <v>40.11</v>
      </c>
      <c r="M132" s="68">
        <v>1</v>
      </c>
      <c r="N132" s="273">
        <f>ROUND(L132*M132,2)</f>
        <v>40.11</v>
      </c>
    </row>
    <row r="133" spans="2:14" ht="20.100000000000001" customHeight="1">
      <c r="B133" s="260" t="s">
        <v>305</v>
      </c>
      <c r="D133" s="52" t="str">
        <f>IF(B133=0,0,VLOOKUP(B133,MAT,3,FALSE))</f>
        <v>BRITA COMERCIAL</v>
      </c>
      <c r="E133" s="53"/>
      <c r="F133" s="53"/>
      <c r="G133" s="53"/>
      <c r="H133" s="53"/>
      <c r="I133" s="36"/>
      <c r="J133" s="54"/>
      <c r="K133" s="66" t="str">
        <f>IF(B133=0,0,VLOOKUP(B133,MAT,5,FALSE))</f>
        <v>M3</v>
      </c>
      <c r="L133" s="67">
        <f>IF(B133=0,0,VLOOKUP(B133,MAT,6,FALSE))</f>
        <v>30.630000000000003</v>
      </c>
      <c r="M133" s="68">
        <v>0.44700000000000001</v>
      </c>
      <c r="N133" s="278">
        <f>(L133*M133)</f>
        <v>13.691610000000001</v>
      </c>
    </row>
    <row r="134" spans="2:14" ht="20.100000000000001" customHeight="1">
      <c r="B134" s="260" t="s">
        <v>303</v>
      </c>
      <c r="D134" s="52" t="str">
        <f>IF(B134=0,0,VLOOKUP(B134,MAT,3,FALSE))</f>
        <v xml:space="preserve">AREIA </v>
      </c>
      <c r="E134" s="53"/>
      <c r="F134" s="53"/>
      <c r="G134" s="53"/>
      <c r="H134" s="53"/>
      <c r="I134" s="36"/>
      <c r="J134" s="54"/>
      <c r="K134" s="66" t="str">
        <f>IF(B134=0,0,VLOOKUP(B134,MAT,5,FALSE))</f>
        <v>M3</v>
      </c>
      <c r="L134" s="67">
        <f>IF(B134=0,0,VLOOKUP(B134,MAT,6,FALSE))</f>
        <v>23.28</v>
      </c>
      <c r="M134" s="68">
        <v>0.161</v>
      </c>
      <c r="N134" s="278">
        <f>(L134*M134)</f>
        <v>3.7480800000000003</v>
      </c>
    </row>
    <row r="135" spans="2:14" ht="20.100000000000001" customHeight="1">
      <c r="B135" s="260" t="s">
        <v>310</v>
      </c>
      <c r="D135" s="52" t="str">
        <f>IF(B135=0,0,VLOOKUP(B135,MAT,3,FALSE))</f>
        <v>FILLER</v>
      </c>
      <c r="E135" s="53"/>
      <c r="F135" s="53"/>
      <c r="G135" s="53"/>
      <c r="H135" s="53"/>
      <c r="I135" s="36"/>
      <c r="J135" s="54"/>
      <c r="K135" s="66" t="str">
        <f>IF(B135=0,0,VLOOKUP(B135,MAT,5,FALSE))</f>
        <v>KG</v>
      </c>
      <c r="L135" s="67">
        <f>IF(B135=0,0,VLOOKUP(B135,MAT,6,FALSE))</f>
        <v>0.05</v>
      </c>
      <c r="M135" s="68">
        <v>33</v>
      </c>
      <c r="N135" s="278">
        <f>(L135*M135)</f>
        <v>1.6500000000000001</v>
      </c>
    </row>
    <row r="136" spans="2:14" ht="20.100000000000001" customHeight="1">
      <c r="B136" s="260"/>
      <c r="D136" s="52"/>
      <c r="E136" s="53"/>
      <c r="F136" s="53"/>
      <c r="G136" s="53"/>
      <c r="H136" s="53"/>
      <c r="I136" s="36"/>
      <c r="J136" s="54"/>
      <c r="K136" s="66"/>
      <c r="L136" s="67"/>
      <c r="M136" s="75"/>
      <c r="N136" s="273"/>
    </row>
    <row r="137" spans="2:14" ht="20.100000000000001" customHeight="1">
      <c r="D137" s="43"/>
      <c r="E137" s="44"/>
      <c r="F137" s="44"/>
      <c r="G137" s="65"/>
      <c r="H137" s="44"/>
      <c r="I137" s="48"/>
      <c r="J137" s="46"/>
      <c r="K137" s="46"/>
      <c r="L137" s="48"/>
      <c r="M137" s="71" t="s">
        <v>106</v>
      </c>
      <c r="N137" s="270">
        <f>SUM(N132:N135)</f>
        <v>59.199689999999997</v>
      </c>
    </row>
    <row r="138" spans="2:14" ht="3.95" customHeight="1">
      <c r="D138" s="43"/>
      <c r="E138" s="44"/>
      <c r="F138" s="44"/>
      <c r="G138" s="65"/>
      <c r="H138" s="44"/>
      <c r="I138" s="48"/>
      <c r="J138" s="46"/>
      <c r="K138" s="46"/>
      <c r="L138" s="48"/>
      <c r="M138" s="46"/>
      <c r="N138" s="277"/>
    </row>
    <row r="139" spans="2:14" ht="20.100000000000001" customHeight="1">
      <c r="D139" s="527" t="s">
        <v>107</v>
      </c>
      <c r="E139" s="72" t="s">
        <v>2</v>
      </c>
      <c r="F139" s="73"/>
      <c r="G139" s="73"/>
      <c r="H139" s="74"/>
      <c r="I139" s="498" t="s">
        <v>108</v>
      </c>
      <c r="J139" s="499"/>
      <c r="K139" s="531" t="s">
        <v>103</v>
      </c>
      <c r="L139" s="514" t="s">
        <v>80</v>
      </c>
      <c r="M139" s="531" t="s">
        <v>109</v>
      </c>
      <c r="N139" s="529" t="s">
        <v>105</v>
      </c>
    </row>
    <row r="140" spans="2:14" ht="20.100000000000001" customHeight="1">
      <c r="D140" s="528"/>
      <c r="E140" s="512" t="s">
        <v>127</v>
      </c>
      <c r="F140" s="513"/>
      <c r="G140" s="512" t="s">
        <v>111</v>
      </c>
      <c r="H140" s="513"/>
      <c r="I140" s="500"/>
      <c r="J140" s="501"/>
      <c r="K140" s="532"/>
      <c r="L140" s="515"/>
      <c r="M140" s="532"/>
      <c r="N140" s="530"/>
    </row>
    <row r="141" spans="2:14" ht="20.100000000000001" customHeight="1">
      <c r="B141" s="260" t="s">
        <v>331</v>
      </c>
      <c r="D141" s="261" t="str">
        <f>IF(B141=0,0,VLOOKUP(B141,TRANS,3,FALSE))</f>
        <v xml:space="preserve">CBUQ </v>
      </c>
      <c r="E141" s="504">
        <f>IF(B141=0,0,VLOOKUP(B141,TRANS,5,FALSE))</f>
        <v>0.37</v>
      </c>
      <c r="F141" s="505"/>
      <c r="G141" s="553"/>
      <c r="H141" s="554"/>
      <c r="I141" s="504">
        <f>IF(B141=0,0,VLOOKUP(B141,TRANS,6,FALSE))</f>
        <v>25</v>
      </c>
      <c r="J141" s="505"/>
      <c r="K141" s="66" t="str">
        <f>IF(B141=0,0,VLOOKUP(B141,TRANS,4,FALSE))</f>
        <v>T.KM</v>
      </c>
      <c r="L141" s="67">
        <f>E141*I141</f>
        <v>9.25</v>
      </c>
      <c r="M141" s="68">
        <f>M132</f>
        <v>1</v>
      </c>
      <c r="N141" s="273">
        <f>ROUND(L141*M141,2)</f>
        <v>9.25</v>
      </c>
    </row>
    <row r="142" spans="2:14" ht="20.100000000000001" customHeight="1">
      <c r="B142" s="260" t="s">
        <v>328</v>
      </c>
      <c r="D142" s="261" t="str">
        <f>IF(B142=0,0,VLOOKUP(B142,TRANS,3,FALSE))</f>
        <v>BRITA ( PED - USINA )</v>
      </c>
      <c r="E142" s="504">
        <f>IF(B142=0,0,VLOOKUP(B142,TRANS,5,FALSE))</f>
        <v>0.33</v>
      </c>
      <c r="F142" s="505"/>
      <c r="G142" s="502"/>
      <c r="H142" s="503"/>
      <c r="I142" s="504">
        <f>IF(B142=0,0,VLOOKUP(B142,TRANS,6,FALSE))</f>
        <v>1</v>
      </c>
      <c r="J142" s="505"/>
      <c r="K142" s="66" t="str">
        <f>IF(B142=0,0,VLOOKUP(B142,TRANS,4,FALSE))</f>
        <v>T.KM</v>
      </c>
      <c r="L142" s="67">
        <f>(E142*I142)+H142</f>
        <v>0.33</v>
      </c>
      <c r="M142" s="68">
        <f>M133*1.5</f>
        <v>0.67049999999999998</v>
      </c>
      <c r="N142" s="278">
        <f>(L142*M142)</f>
        <v>0.22126500000000002</v>
      </c>
    </row>
    <row r="143" spans="2:14" ht="20.100000000000001" customHeight="1">
      <c r="B143" s="260" t="s">
        <v>326</v>
      </c>
      <c r="D143" s="261" t="str">
        <f>IF(B143=0,0,VLOOKUP(B143,TRANS,3,FALSE))</f>
        <v>AREIA ( AREAL - USINA )</v>
      </c>
      <c r="E143" s="504">
        <f>IF(B143=0,0,VLOOKUP(B143,TRANS,5,FALSE))</f>
        <v>0.33</v>
      </c>
      <c r="F143" s="505"/>
      <c r="G143" s="545"/>
      <c r="H143" s="546"/>
      <c r="I143" s="504">
        <f>IF(B143=0,0,VLOOKUP(B143,TRANS,6,FALSE))</f>
        <v>65.06</v>
      </c>
      <c r="J143" s="505"/>
      <c r="K143" s="66" t="str">
        <f>IF(B143=0,0,VLOOKUP(B143,TRANS,4,FALSE))</f>
        <v>T.KM</v>
      </c>
      <c r="L143" s="67">
        <f>(E143*I143)+H143</f>
        <v>21.469800000000003</v>
      </c>
      <c r="M143" s="68">
        <f>M134*1.5</f>
        <v>0.24149999999999999</v>
      </c>
      <c r="N143" s="278">
        <f>(L143*M143)</f>
        <v>5.1849567000000008</v>
      </c>
    </row>
    <row r="144" spans="2:14" ht="20.100000000000001" customHeight="1">
      <c r="B144" s="260" t="s">
        <v>334</v>
      </c>
      <c r="D144" s="261" t="str">
        <f>IF(B144=0,0,VLOOKUP(B144,TRANS,3,FALSE))</f>
        <v>FILLER</v>
      </c>
      <c r="E144" s="504">
        <f>IF(B144=0,0,VLOOKUP(B144,TRANS,5,FALSE))</f>
        <v>0.24</v>
      </c>
      <c r="F144" s="505"/>
      <c r="G144" s="545"/>
      <c r="H144" s="546"/>
      <c r="I144" s="504">
        <f>IF(B144=0,0,VLOOKUP(B144,TRANS,6,FALSE))</f>
        <v>50</v>
      </c>
      <c r="J144" s="505"/>
      <c r="K144" s="263" t="str">
        <f>IF(B144=0,0,VLOOKUP(B144,TRANS,4,FALSE))</f>
        <v>T.KM</v>
      </c>
      <c r="L144" s="67">
        <f>(E144*I144)+H144</f>
        <v>12</v>
      </c>
      <c r="M144" s="70">
        <f>M135/1000</f>
        <v>3.3000000000000002E-2</v>
      </c>
      <c r="N144" s="278">
        <f>L144*M144</f>
        <v>0.39600000000000002</v>
      </c>
    </row>
    <row r="145" spans="2:14" ht="20.100000000000001" customHeight="1">
      <c r="D145" s="98"/>
      <c r="E145" s="99"/>
      <c r="F145" s="44"/>
      <c r="G145" s="65"/>
      <c r="H145" s="44"/>
      <c r="I145" s="48"/>
      <c r="J145" s="46"/>
      <c r="K145" s="46"/>
      <c r="L145" s="48"/>
      <c r="M145" s="71" t="s">
        <v>112</v>
      </c>
      <c r="N145" s="270">
        <f>SUM(N141:N144)</f>
        <v>15.052221700000002</v>
      </c>
    </row>
    <row r="146" spans="2:14" ht="3.95" customHeight="1">
      <c r="D146" s="98"/>
      <c r="E146" s="99"/>
      <c r="F146" s="44"/>
      <c r="G146" s="65"/>
      <c r="H146" s="44"/>
      <c r="I146" s="48"/>
      <c r="J146" s="46"/>
      <c r="K146" s="46"/>
      <c r="L146" s="48"/>
      <c r="M146" s="100"/>
      <c r="N146" s="282"/>
    </row>
    <row r="147" spans="2:14" ht="20.100000000000001" customHeight="1">
      <c r="D147" s="98"/>
      <c r="E147" s="99"/>
      <c r="F147" s="44"/>
      <c r="G147" s="65"/>
      <c r="H147" s="44"/>
      <c r="I147" s="48"/>
      <c r="J147" s="46"/>
      <c r="K147" s="565" t="s">
        <v>129</v>
      </c>
      <c r="L147" s="566"/>
      <c r="M147" s="567"/>
      <c r="N147" s="279">
        <f>+N129+N137+N145</f>
        <v>83.881911700000003</v>
      </c>
    </row>
    <row r="148" spans="2:14" ht="20.100000000000001" customHeight="1">
      <c r="D148" s="98"/>
      <c r="E148" s="99"/>
      <c r="F148" s="44"/>
      <c r="G148" s="65"/>
      <c r="H148" s="44"/>
      <c r="I148" s="48"/>
      <c r="J148" s="46"/>
      <c r="K148" s="81" t="s">
        <v>115</v>
      </c>
      <c r="L148" s="359">
        <f>DI</f>
        <v>0.26700000000000002</v>
      </c>
      <c r="M148" s="83"/>
      <c r="N148" s="279">
        <f>L148*N147</f>
        <v>22.396470423900002</v>
      </c>
    </row>
    <row r="149" spans="2:14" ht="20.100000000000001" customHeight="1" thickBot="1">
      <c r="D149" s="102"/>
      <c r="E149" s="103"/>
      <c r="F149" s="104"/>
      <c r="G149" s="105"/>
      <c r="H149" s="104"/>
      <c r="I149" s="225"/>
      <c r="J149" s="85"/>
      <c r="K149" s="86" t="s">
        <v>130</v>
      </c>
      <c r="L149" s="280"/>
      <c r="M149" s="89"/>
      <c r="N149" s="281">
        <f>N147+N148</f>
        <v>106.2783821239</v>
      </c>
    </row>
    <row r="150" spans="2:14" ht="3.95" customHeight="1">
      <c r="D150" s="106"/>
      <c r="E150" s="107"/>
      <c r="F150" s="108"/>
      <c r="G150" s="109"/>
      <c r="H150" s="108"/>
      <c r="I150" s="226"/>
      <c r="J150" s="110"/>
      <c r="K150" s="111"/>
      <c r="L150" s="284"/>
      <c r="M150" s="111"/>
      <c r="N150" s="285"/>
    </row>
    <row r="151" spans="2:14" ht="3.95" customHeight="1" thickBot="1">
      <c r="D151" s="102"/>
      <c r="E151" s="103"/>
      <c r="F151" s="104"/>
      <c r="G151" s="105"/>
      <c r="H151" s="104"/>
      <c r="I151" s="225"/>
      <c r="J151" s="85"/>
      <c r="K151" s="112"/>
      <c r="L151" s="286"/>
      <c r="M151" s="112"/>
      <c r="N151" s="287"/>
    </row>
    <row r="152" spans="2:14" ht="20.100000000000001" customHeight="1">
      <c r="D152" s="571" t="s">
        <v>131</v>
      </c>
      <c r="E152" s="572"/>
      <c r="F152" s="572"/>
      <c r="G152" s="572"/>
      <c r="H152" s="572"/>
      <c r="I152" s="572"/>
      <c r="J152" s="573"/>
      <c r="K152" s="113" t="s">
        <v>103</v>
      </c>
      <c r="L152" s="34" t="s">
        <v>80</v>
      </c>
      <c r="M152" s="34" t="s">
        <v>104</v>
      </c>
      <c r="N152" s="288" t="s">
        <v>105</v>
      </c>
    </row>
    <row r="153" spans="2:14" ht="20.100000000000001" customHeight="1">
      <c r="B153" s="260" t="s">
        <v>357</v>
      </c>
      <c r="D153" s="264" t="str">
        <f>IF(B153=0,0,VLOOKUP(B153,MAT_BET,3,FALSE))</f>
        <v>AQUISIÇÃO CAP -20</v>
      </c>
      <c r="E153" s="265"/>
      <c r="F153" s="265"/>
      <c r="G153" s="265"/>
      <c r="H153" s="265"/>
      <c r="I153" s="265"/>
      <c r="J153" s="266"/>
      <c r="K153" s="262" t="str">
        <f>IF(B153=0,0,VLOOKUP(B153,MAT_BET,4,FALSE))</f>
        <v>T</v>
      </c>
      <c r="L153" s="67">
        <f>IF(B153=0,0,VLOOKUP(B153,MAT_BET,5,FALSE))</f>
        <v>1132</v>
      </c>
      <c r="M153" s="68">
        <v>5.8000000000000003E-2</v>
      </c>
      <c r="N153" s="273">
        <f>ROUND(L153*M153,2)</f>
        <v>65.66</v>
      </c>
    </row>
    <row r="154" spans="2:14" ht="20.100000000000001" customHeight="1">
      <c r="D154" s="114"/>
      <c r="E154" s="59"/>
      <c r="F154" s="59"/>
      <c r="G154" s="59"/>
      <c r="H154" s="59"/>
      <c r="I154" s="91"/>
      <c r="J154" s="115"/>
      <c r="K154" s="81" t="s">
        <v>115</v>
      </c>
      <c r="L154" s="359">
        <f>DI</f>
        <v>0.26700000000000002</v>
      </c>
      <c r="M154" s="83"/>
      <c r="N154" s="279">
        <f>L154*N153</f>
        <v>17.531220000000001</v>
      </c>
    </row>
    <row r="155" spans="2:14" ht="20.100000000000001" customHeight="1">
      <c r="D155" s="76"/>
      <c r="E155" s="77"/>
      <c r="F155" s="77"/>
      <c r="G155" s="77"/>
      <c r="H155" s="77"/>
      <c r="I155" s="156"/>
      <c r="J155" s="116"/>
      <c r="K155" s="81" t="s">
        <v>132</v>
      </c>
      <c r="L155" s="289"/>
      <c r="M155" s="83"/>
      <c r="N155" s="279">
        <f>N153+N154</f>
        <v>83.191220000000001</v>
      </c>
    </row>
    <row r="156" spans="2:14" ht="20.100000000000001" customHeight="1">
      <c r="D156" s="117"/>
      <c r="E156" s="118"/>
      <c r="F156" s="118"/>
      <c r="G156" s="118"/>
      <c r="H156" s="118"/>
      <c r="I156" s="94"/>
      <c r="J156" s="119"/>
      <c r="K156" s="113" t="s">
        <v>103</v>
      </c>
      <c r="L156" s="34" t="s">
        <v>80</v>
      </c>
      <c r="M156" s="34" t="s">
        <v>104</v>
      </c>
      <c r="N156" s="288" t="s">
        <v>105</v>
      </c>
    </row>
    <row r="157" spans="2:14" ht="20.100000000000001" customHeight="1">
      <c r="B157" s="260" t="s">
        <v>363</v>
      </c>
      <c r="D157" s="264" t="str">
        <f>IF(B157=0,0,VLOOKUP(B157,MAT_BET,3,FALSE))</f>
        <v>TRANSPORTE CAP - 20</v>
      </c>
      <c r="E157" s="265"/>
      <c r="F157" s="265"/>
      <c r="G157" s="265"/>
      <c r="H157" s="265"/>
      <c r="I157" s="265"/>
      <c r="J157" s="266"/>
      <c r="K157" s="262" t="str">
        <f>IF(B157=0,0,VLOOKUP(B157,MAT_BET,4,FALSE))</f>
        <v>T</v>
      </c>
      <c r="L157" s="67">
        <f>IF(B157=0,0,VLOOKUP(B157,MAT_BET,5,FALSE))</f>
        <v>230.69</v>
      </c>
      <c r="M157" s="68">
        <v>5.8000000000000003E-2</v>
      </c>
      <c r="N157" s="278">
        <f>(L157*M157)</f>
        <v>13.38002</v>
      </c>
    </row>
    <row r="158" spans="2:14" ht="20.100000000000001" customHeight="1">
      <c r="D158" s="114"/>
      <c r="E158" s="59"/>
      <c r="F158" s="59"/>
      <c r="G158" s="59"/>
      <c r="H158" s="59"/>
      <c r="I158" s="91"/>
      <c r="J158" s="115"/>
      <c r="K158" s="81" t="s">
        <v>115</v>
      </c>
      <c r="L158" s="359">
        <f>DI</f>
        <v>0.26700000000000002</v>
      </c>
      <c r="M158" s="83"/>
      <c r="N158" s="279">
        <f>L158*N157</f>
        <v>3.5724653400000004</v>
      </c>
    </row>
    <row r="159" spans="2:14" ht="20.100000000000001" customHeight="1" thickBot="1">
      <c r="D159" s="76"/>
      <c r="E159" s="77"/>
      <c r="F159" s="77"/>
      <c r="G159" s="77"/>
      <c r="H159" s="77"/>
      <c r="I159" s="156"/>
      <c r="J159" s="116"/>
      <c r="K159" s="97" t="s">
        <v>133</v>
      </c>
      <c r="L159" s="290"/>
      <c r="M159" s="120"/>
      <c r="N159" s="291">
        <f>N157+N158</f>
        <v>16.952485339999999</v>
      </c>
    </row>
    <row r="160" spans="2:14" ht="20.100000000000001" customHeight="1" thickBot="1">
      <c r="D160" s="121"/>
      <c r="E160" s="122"/>
      <c r="F160" s="122"/>
      <c r="G160" s="123"/>
      <c r="H160" s="122"/>
      <c r="I160" s="227"/>
      <c r="J160" s="124"/>
      <c r="K160" s="549" t="s">
        <v>134</v>
      </c>
      <c r="L160" s="549"/>
      <c r="M160" s="550"/>
      <c r="N160" s="292">
        <f>N155+N159</f>
        <v>100.14370534</v>
      </c>
    </row>
    <row r="161" spans="2:14" ht="3.95" customHeight="1" thickBot="1">
      <c r="D161" s="43"/>
      <c r="E161" s="44"/>
      <c r="F161" s="44"/>
      <c r="G161" s="65"/>
      <c r="H161" s="44"/>
      <c r="I161" s="48"/>
      <c r="J161" s="46"/>
      <c r="K161" s="125"/>
      <c r="L161" s="293"/>
      <c r="M161" s="125"/>
      <c r="N161" s="282"/>
    </row>
    <row r="162" spans="2:14" ht="20.100000000000001" customHeight="1">
      <c r="D162" s="126"/>
      <c r="E162" s="108"/>
      <c r="F162" s="108"/>
      <c r="G162" s="109"/>
      <c r="H162" s="108"/>
      <c r="I162" s="228" t="s">
        <v>114</v>
      </c>
      <c r="J162" s="128"/>
      <c r="K162" s="128"/>
      <c r="L162" s="354">
        <v>0.02</v>
      </c>
      <c r="M162" s="129"/>
      <c r="N162" s="294">
        <f>(N147+N153+N157)*L162</f>
        <v>3.2584386340000004</v>
      </c>
    </row>
    <row r="163" spans="2:14" ht="20.100000000000001" customHeight="1">
      <c r="D163" s="43"/>
      <c r="E163" s="44"/>
      <c r="F163" s="44"/>
      <c r="G163" s="65"/>
      <c r="H163" s="44"/>
      <c r="I163" s="563" t="s">
        <v>135</v>
      </c>
      <c r="J163" s="564"/>
      <c r="K163" s="564"/>
      <c r="L163" s="564"/>
      <c r="M163" s="125"/>
      <c r="N163" s="282">
        <f>N147+N153+N157+N162</f>
        <v>166.180370334</v>
      </c>
    </row>
    <row r="164" spans="2:14" ht="20.100000000000001" customHeight="1" thickBot="1">
      <c r="D164" s="130"/>
      <c r="E164" s="104"/>
      <c r="F164" s="104"/>
      <c r="G164" s="105"/>
      <c r="H164" s="104"/>
      <c r="I164" s="537" t="s">
        <v>136</v>
      </c>
      <c r="J164" s="538"/>
      <c r="K164" s="538"/>
      <c r="L164" s="538"/>
      <c r="M164" s="131"/>
      <c r="N164" s="295">
        <f>N163*2.4</f>
        <v>398.83288880160001</v>
      </c>
    </row>
    <row r="165" spans="2:14" ht="3.95" customHeight="1" thickBot="1">
      <c r="D165" s="98"/>
      <c r="E165" s="99"/>
      <c r="F165" s="44"/>
      <c r="G165" s="65"/>
      <c r="H165" s="44"/>
      <c r="I165" s="48"/>
      <c r="J165" s="46"/>
      <c r="K165" s="46"/>
      <c r="L165" s="48"/>
      <c r="M165" s="100"/>
      <c r="N165" s="282"/>
    </row>
    <row r="166" spans="2:14" ht="20.100000000000001" customHeight="1">
      <c r="D166" s="133"/>
      <c r="E166" s="134"/>
      <c r="F166" s="134"/>
      <c r="G166" s="134"/>
      <c r="H166" s="134"/>
      <c r="I166" s="229" t="s">
        <v>137</v>
      </c>
      <c r="J166" s="135"/>
      <c r="K166" s="135"/>
      <c r="L166" s="354">
        <f>DI</f>
        <v>0.26700000000000002</v>
      </c>
      <c r="M166" s="136"/>
      <c r="N166" s="294">
        <f>(N163*L154)+N163</f>
        <v>210.55052921317801</v>
      </c>
    </row>
    <row r="167" spans="2:14" ht="20.100000000000001" customHeight="1" thickBot="1">
      <c r="D167" s="137"/>
      <c r="E167" s="138"/>
      <c r="F167" s="138"/>
      <c r="G167" s="138"/>
      <c r="H167" s="138"/>
      <c r="I167" s="230" t="s">
        <v>138</v>
      </c>
      <c r="J167" s="139"/>
      <c r="K167" s="139"/>
      <c r="L167" s="358">
        <f>DI</f>
        <v>0.26700000000000002</v>
      </c>
      <c r="M167" s="140"/>
      <c r="N167" s="295">
        <f>N166</f>
        <v>210.55052921317801</v>
      </c>
    </row>
    <row r="170" spans="2:14" ht="20.100000000000001" customHeight="1" thickBot="1"/>
    <row r="171" spans="2:14" ht="20.100000000000001" customHeight="1">
      <c r="B171" s="197" t="s">
        <v>187</v>
      </c>
      <c r="D171" s="520"/>
      <c r="E171" s="521"/>
      <c r="F171" s="542" t="s">
        <v>74</v>
      </c>
      <c r="G171" s="543"/>
      <c r="H171" s="543"/>
      <c r="I171" s="543"/>
      <c r="J171" s="543"/>
      <c r="K171" s="543"/>
      <c r="L171" s="544"/>
      <c r="M171" s="19" t="s">
        <v>75</v>
      </c>
      <c r="N171" s="20" t="s">
        <v>76</v>
      </c>
    </row>
    <row r="172" spans="2:14" ht="34.5" customHeight="1">
      <c r="D172" s="522"/>
      <c r="E172" s="523"/>
      <c r="F172" s="574" t="str">
        <f>VLOOKUP(B171,Resumo_Composições,3,FALSE)</f>
        <v>CONCRETO BETUMINOSO USINADO A QUENTE COM POLÍMERO - CAPA DE ROLAMENTO</v>
      </c>
      <c r="G172" s="575"/>
      <c r="H172" s="575"/>
      <c r="I172" s="575"/>
      <c r="J172" s="575"/>
      <c r="K172" s="575"/>
      <c r="L172" s="576"/>
      <c r="M172" s="24" t="str">
        <f>VLOOKUP(B171,Resumo_Composições,4,FALSE)</f>
        <v>TON</v>
      </c>
      <c r="N172" s="25">
        <f>DATA</f>
        <v>41214</v>
      </c>
    </row>
    <row r="173" spans="2:14" ht="20.100000000000001" customHeight="1">
      <c r="D173" s="561" t="s">
        <v>77</v>
      </c>
      <c r="E173" s="562"/>
      <c r="F173" s="562"/>
      <c r="G173" s="562"/>
      <c r="H173" s="536"/>
      <c r="I173" s="51" t="s">
        <v>78</v>
      </c>
      <c r="J173" s="535" t="s">
        <v>79</v>
      </c>
      <c r="K173" s="536"/>
      <c r="L173" s="535" t="s">
        <v>80</v>
      </c>
      <c r="M173" s="536"/>
      <c r="N173" s="516" t="s">
        <v>81</v>
      </c>
    </row>
    <row r="174" spans="2:14" ht="20.100000000000001" customHeight="1">
      <c r="D174" s="31"/>
      <c r="E174" s="32"/>
      <c r="F174" s="32"/>
      <c r="G174" s="32"/>
      <c r="H174" s="33"/>
      <c r="I174" s="34"/>
      <c r="J174" s="34" t="s">
        <v>82</v>
      </c>
      <c r="K174" s="34" t="s">
        <v>83</v>
      </c>
      <c r="L174" s="34" t="s">
        <v>82</v>
      </c>
      <c r="M174" s="34" t="s">
        <v>84</v>
      </c>
      <c r="N174" s="517"/>
    </row>
    <row r="175" spans="2:14" ht="20.100000000000001" customHeight="1">
      <c r="B175" s="260" t="s">
        <v>292</v>
      </c>
      <c r="D175" s="35" t="str">
        <f t="shared" ref="D175:D180" si="10">IF(B175=0,0,VLOOKUP(B175,EQUIP,3,FALSE))</f>
        <v>TRATOR AGRICOLA (77 KW)</v>
      </c>
      <c r="E175" s="91"/>
      <c r="F175" s="91"/>
      <c r="G175" s="91"/>
      <c r="H175" s="92"/>
      <c r="I175" s="215">
        <v>1</v>
      </c>
      <c r="J175" s="38">
        <v>0.15</v>
      </c>
      <c r="K175" s="38">
        <f t="shared" ref="K175:K180" si="11">1-J175</f>
        <v>0.85</v>
      </c>
      <c r="L175" s="215">
        <f t="shared" ref="L175:L180" si="12">IF(B175=0,0,VLOOKUP(B175,EQUIP,6,FALSE))</f>
        <v>65.799899999999994</v>
      </c>
      <c r="M175" s="38">
        <f t="shared" ref="M175:M180" si="13">IF(B175=0,0,VLOOKUP(B175,EQUIP,7,FALSE))</f>
        <v>17.27</v>
      </c>
      <c r="N175" s="269">
        <f t="shared" ref="N175:N180" si="14">ROUND(I175*J175*L175+I175*K175*M175,2)</f>
        <v>24.55</v>
      </c>
    </row>
    <row r="176" spans="2:14" ht="20.100000000000001" customHeight="1">
      <c r="B176" s="260" t="s">
        <v>288</v>
      </c>
      <c r="D176" s="35" t="str">
        <f t="shared" si="10"/>
        <v>ROLO COMPACTADOR TANDEM VIBRAT. AUTOPROPO. 10,9 T (112 KW)</v>
      </c>
      <c r="E176" s="91"/>
      <c r="F176" s="91"/>
      <c r="G176" s="91"/>
      <c r="H176" s="92"/>
      <c r="I176" s="224">
        <v>1</v>
      </c>
      <c r="J176" s="38">
        <v>0.55000000000000004</v>
      </c>
      <c r="K176" s="38">
        <f t="shared" si="11"/>
        <v>0.44999999999999996</v>
      </c>
      <c r="L176" s="215">
        <f t="shared" si="12"/>
        <v>112.07</v>
      </c>
      <c r="M176" s="38">
        <f t="shared" si="13"/>
        <v>17.27</v>
      </c>
      <c r="N176" s="269">
        <f t="shared" si="14"/>
        <v>69.41</v>
      </c>
    </row>
    <row r="177" spans="2:14" ht="20.100000000000001" customHeight="1">
      <c r="B177" s="260" t="s">
        <v>284</v>
      </c>
      <c r="D177" s="35" t="str">
        <f t="shared" si="10"/>
        <v>ROLO COMPACTADOR - DE PNEUS AUTOPROPELIDO 21 t (97kW)</v>
      </c>
      <c r="E177" s="91"/>
      <c r="F177" s="91"/>
      <c r="G177" s="91"/>
      <c r="H177" s="92"/>
      <c r="I177" s="224">
        <v>1</v>
      </c>
      <c r="J177" s="38">
        <v>0.55000000000000004</v>
      </c>
      <c r="K177" s="38">
        <f t="shared" si="11"/>
        <v>0.44999999999999996</v>
      </c>
      <c r="L177" s="215">
        <f t="shared" si="12"/>
        <v>96.39</v>
      </c>
      <c r="M177" s="38">
        <f t="shared" si="13"/>
        <v>17.27</v>
      </c>
      <c r="N177" s="269">
        <f t="shared" si="14"/>
        <v>60.79</v>
      </c>
    </row>
    <row r="178" spans="2:14" ht="20.100000000000001" customHeight="1">
      <c r="B178" s="260" t="s">
        <v>296</v>
      </c>
      <c r="D178" s="35" t="str">
        <f t="shared" si="10"/>
        <v>VASSOURA MECÂNICA REBOCÁVEL</v>
      </c>
      <c r="E178" s="36"/>
      <c r="F178" s="36"/>
      <c r="G178" s="36"/>
      <c r="H178" s="37"/>
      <c r="I178" s="215">
        <v>1</v>
      </c>
      <c r="J178" s="38">
        <v>0.15</v>
      </c>
      <c r="K178" s="38">
        <f t="shared" si="11"/>
        <v>0.85</v>
      </c>
      <c r="L178" s="215">
        <f t="shared" si="12"/>
        <v>3.83</v>
      </c>
      <c r="M178" s="38">
        <f t="shared" si="13"/>
        <v>0</v>
      </c>
      <c r="N178" s="269">
        <f t="shared" si="14"/>
        <v>0.56999999999999995</v>
      </c>
    </row>
    <row r="179" spans="2:14" ht="20.100000000000001" customHeight="1">
      <c r="B179" s="260" t="s">
        <v>297</v>
      </c>
      <c r="D179" s="35" t="str">
        <f t="shared" si="10"/>
        <v>VIBRO ACABADORA ASFALTO B.GREENE</v>
      </c>
      <c r="E179" s="36"/>
      <c r="F179" s="36"/>
      <c r="G179" s="36"/>
      <c r="H179" s="37"/>
      <c r="I179" s="215">
        <v>1</v>
      </c>
      <c r="J179" s="38">
        <v>0.65</v>
      </c>
      <c r="K179" s="38">
        <f t="shared" si="11"/>
        <v>0.35</v>
      </c>
      <c r="L179" s="215">
        <f t="shared" si="12"/>
        <v>357.07</v>
      </c>
      <c r="M179" s="38">
        <f t="shared" si="13"/>
        <v>227.45358999999999</v>
      </c>
      <c r="N179" s="269">
        <f t="shared" si="14"/>
        <v>311.7</v>
      </c>
    </row>
    <row r="180" spans="2:14" ht="20.100000000000001" customHeight="1">
      <c r="B180" s="260" t="s">
        <v>262</v>
      </c>
      <c r="D180" s="35" t="str">
        <f t="shared" si="10"/>
        <v>CAMINHÃO BASCULANTE 10m3 - 15 T (170 KW)</v>
      </c>
      <c r="E180" s="36"/>
      <c r="F180" s="36"/>
      <c r="G180" s="36"/>
      <c r="H180" s="37"/>
      <c r="I180" s="224">
        <v>1.7</v>
      </c>
      <c r="J180" s="38">
        <v>0.65</v>
      </c>
      <c r="K180" s="38">
        <f t="shared" si="11"/>
        <v>0.35</v>
      </c>
      <c r="L180" s="215">
        <f t="shared" si="12"/>
        <v>135.83000000000001</v>
      </c>
      <c r="M180" s="38">
        <f t="shared" si="13"/>
        <v>20.47</v>
      </c>
      <c r="N180" s="269">
        <f t="shared" si="14"/>
        <v>162.27000000000001</v>
      </c>
    </row>
    <row r="181" spans="2:14" ht="20.100000000000001" customHeight="1">
      <c r="B181" s="260"/>
      <c r="D181" s="93"/>
      <c r="E181" s="94"/>
      <c r="F181" s="94"/>
      <c r="G181" s="94"/>
      <c r="H181" s="95"/>
      <c r="I181" s="215"/>
      <c r="J181" s="38"/>
      <c r="K181" s="38"/>
      <c r="L181" s="57"/>
      <c r="M181" s="39"/>
      <c r="N181" s="269"/>
    </row>
    <row r="182" spans="2:14" ht="20.100000000000001" customHeight="1">
      <c r="D182" s="40"/>
      <c r="E182" s="41"/>
      <c r="F182" s="41"/>
      <c r="G182" s="41"/>
      <c r="H182" s="41"/>
      <c r="I182" s="216"/>
      <c r="J182" s="41"/>
      <c r="K182" s="41"/>
      <c r="L182" s="216"/>
      <c r="M182" s="42" t="s">
        <v>89</v>
      </c>
      <c r="N182" s="270">
        <f>SUM(N175:N180)</f>
        <v>629.29</v>
      </c>
    </row>
    <row r="183" spans="2:14" ht="3.95" customHeight="1">
      <c r="D183" s="43"/>
      <c r="E183" s="44"/>
      <c r="F183" s="44"/>
      <c r="G183" s="45"/>
      <c r="H183" s="44"/>
      <c r="I183" s="217"/>
      <c r="J183" s="46"/>
      <c r="K183" s="47"/>
      <c r="L183" s="48"/>
      <c r="M183" s="48"/>
      <c r="N183" s="271"/>
    </row>
    <row r="184" spans="2:14" ht="20.100000000000001" customHeight="1">
      <c r="D184" s="518" t="s">
        <v>90</v>
      </c>
      <c r="E184" s="519"/>
      <c r="F184" s="519"/>
      <c r="G184" s="519"/>
      <c r="H184" s="519"/>
      <c r="I184" s="519"/>
      <c r="J184" s="513"/>
      <c r="K184" s="50" t="s">
        <v>91</v>
      </c>
      <c r="L184" s="51" t="s">
        <v>92</v>
      </c>
      <c r="M184" s="51" t="s">
        <v>93</v>
      </c>
      <c r="N184" s="272" t="s">
        <v>94</v>
      </c>
    </row>
    <row r="185" spans="2:14" ht="20.100000000000001" customHeight="1">
      <c r="B185" s="260" t="s">
        <v>250</v>
      </c>
      <c r="D185" s="52" t="str">
        <f>IF(B185=0,0,VLOOKUP(B185,MO,2,FALSE))</f>
        <v>ENCARREGADO DE PAVIMENTAÇÃO</v>
      </c>
      <c r="E185" s="53"/>
      <c r="F185" s="53"/>
      <c r="G185" s="53"/>
      <c r="H185" s="53"/>
      <c r="I185" s="36"/>
      <c r="J185" s="54"/>
      <c r="K185" s="39"/>
      <c r="L185" s="55">
        <v>1</v>
      </c>
      <c r="M185" s="55">
        <f>IF(B185=0,0,VLOOKUP(B185,MO,6,FALSE))</f>
        <v>44.786799999999999</v>
      </c>
      <c r="N185" s="273">
        <f>ROUND(L185*M185,2)</f>
        <v>44.79</v>
      </c>
    </row>
    <row r="186" spans="2:14" ht="20.100000000000001" customHeight="1">
      <c r="B186" s="260" t="s">
        <v>248</v>
      </c>
      <c r="D186" s="52" t="str">
        <f>IF(B186=0,0,VLOOKUP(B186,MO,2,FALSE))</f>
        <v>SERVENTE</v>
      </c>
      <c r="E186" s="53"/>
      <c r="F186" s="53"/>
      <c r="G186" s="53"/>
      <c r="H186" s="53"/>
      <c r="I186" s="36"/>
      <c r="J186" s="54"/>
      <c r="K186" s="39"/>
      <c r="L186" s="55">
        <v>6</v>
      </c>
      <c r="M186" s="55">
        <f>IF(B186=0,0,VLOOKUP(B186,MO,6,FALSE))</f>
        <v>7.9973000000000001</v>
      </c>
      <c r="N186" s="273">
        <f>ROUND(L186*M186,2)</f>
        <v>47.98</v>
      </c>
    </row>
    <row r="187" spans="2:14" ht="20.100000000000001" customHeight="1">
      <c r="B187" s="260"/>
      <c r="D187" s="52" t="s">
        <v>122</v>
      </c>
      <c r="E187" s="53"/>
      <c r="F187" s="53"/>
      <c r="G187" s="53"/>
      <c r="H187" s="53"/>
      <c r="I187" s="36"/>
      <c r="J187" s="54"/>
      <c r="K187" s="56">
        <v>0</v>
      </c>
      <c r="L187" s="57">
        <f>N185+N186</f>
        <v>92.77</v>
      </c>
      <c r="M187" s="55"/>
      <c r="N187" s="445">
        <f>ROUND(L187*K187,2)</f>
        <v>0</v>
      </c>
    </row>
    <row r="188" spans="2:14" ht="20.100000000000001" customHeight="1">
      <c r="D188" s="58"/>
      <c r="E188" s="59"/>
      <c r="F188" s="60"/>
      <c r="G188" s="60"/>
      <c r="H188" s="44"/>
      <c r="I188" s="217"/>
      <c r="J188" s="61"/>
      <c r="K188" s="47"/>
      <c r="L188" s="48"/>
      <c r="M188" s="62" t="s">
        <v>98</v>
      </c>
      <c r="N188" s="270">
        <f>SUM(N185:N187)</f>
        <v>92.77</v>
      </c>
    </row>
    <row r="189" spans="2:14" ht="3.95" customHeight="1">
      <c r="D189" s="43"/>
      <c r="E189" s="44"/>
      <c r="F189" s="44"/>
      <c r="G189" s="44"/>
      <c r="H189" s="44"/>
      <c r="I189" s="217"/>
      <c r="J189" s="61"/>
      <c r="K189" s="47"/>
      <c r="L189" s="48"/>
      <c r="M189" s="48"/>
      <c r="N189" s="271"/>
    </row>
    <row r="190" spans="2:14" ht="20.100000000000001" customHeight="1">
      <c r="D190" s="40"/>
      <c r="E190" s="60"/>
      <c r="F190" s="60"/>
      <c r="G190" s="60"/>
      <c r="H190" s="63"/>
      <c r="I190" s="218"/>
      <c r="J190" s="63"/>
      <c r="K190" s="509" t="s">
        <v>99</v>
      </c>
      <c r="L190" s="510"/>
      <c r="M190" s="511"/>
      <c r="N190" s="275">
        <f>+N182+N188</f>
        <v>722.06</v>
      </c>
    </row>
    <row r="191" spans="2:14" ht="3.95" customHeight="1">
      <c r="D191" s="64"/>
      <c r="E191" s="44"/>
      <c r="F191" s="44"/>
      <c r="G191" s="45"/>
      <c r="H191" s="44"/>
      <c r="I191" s="217"/>
      <c r="J191" s="46"/>
      <c r="K191" s="47"/>
      <c r="L191" s="48"/>
      <c r="M191" s="48"/>
      <c r="N191" s="271"/>
    </row>
    <row r="192" spans="2:14" ht="20.100000000000001" customHeight="1">
      <c r="D192" s="58"/>
      <c r="E192" s="509" t="s">
        <v>100</v>
      </c>
      <c r="F192" s="510"/>
      <c r="G192" s="510"/>
      <c r="H192" s="511"/>
      <c r="I192" s="219">
        <v>75</v>
      </c>
      <c r="J192" s="48"/>
      <c r="K192" s="506" t="s">
        <v>101</v>
      </c>
      <c r="L192" s="507"/>
      <c r="M192" s="507"/>
      <c r="N192" s="276">
        <f>ROUND(N190/I192,2)</f>
        <v>9.6300000000000008</v>
      </c>
    </row>
    <row r="193" spans="2:14" ht="3.95" customHeight="1">
      <c r="D193" s="43"/>
      <c r="E193" s="44"/>
      <c r="F193" s="44"/>
      <c r="G193" s="65"/>
      <c r="H193" s="44"/>
      <c r="I193" s="48"/>
      <c r="J193" s="46"/>
      <c r="K193" s="46"/>
      <c r="L193" s="48"/>
      <c r="M193" s="46"/>
      <c r="N193" s="277"/>
    </row>
    <row r="194" spans="2:14" ht="20.100000000000001" customHeight="1">
      <c r="D194" s="49" t="s">
        <v>102</v>
      </c>
      <c r="E194" s="22"/>
      <c r="F194" s="22"/>
      <c r="G194" s="22"/>
      <c r="H194" s="22"/>
      <c r="I194" s="141"/>
      <c r="J194" s="23"/>
      <c r="K194" s="50" t="s">
        <v>103</v>
      </c>
      <c r="L194" s="51" t="s">
        <v>80</v>
      </c>
      <c r="M194" s="51" t="s">
        <v>104</v>
      </c>
      <c r="N194" s="272" t="s">
        <v>105</v>
      </c>
    </row>
    <row r="195" spans="2:14" ht="20.100000000000001" customHeight="1">
      <c r="B195" s="260" t="s">
        <v>306</v>
      </c>
      <c r="D195" s="52" t="str">
        <f>IF(B195=0,0,VLOOKUP(B195,MAT,3,FALSE))</f>
        <v>CBUQ - USINAGEM</v>
      </c>
      <c r="E195" s="53"/>
      <c r="F195" s="53"/>
      <c r="G195" s="53"/>
      <c r="H195" s="53"/>
      <c r="I195" s="36"/>
      <c r="J195" s="54"/>
      <c r="K195" s="66" t="str">
        <f>IF(B195=0,0,VLOOKUP(B195,MAT,5,FALSE))</f>
        <v>T</v>
      </c>
      <c r="L195" s="67">
        <f>IF(B195=0,0,VLOOKUP(B195,MAT,6,FALSE))</f>
        <v>40.11</v>
      </c>
      <c r="M195" s="68">
        <v>1</v>
      </c>
      <c r="N195" s="273">
        <f>ROUND(L195*M195,2)</f>
        <v>40.11</v>
      </c>
    </row>
    <row r="196" spans="2:14" ht="20.100000000000001" customHeight="1">
      <c r="B196" s="260" t="s">
        <v>305</v>
      </c>
      <c r="D196" s="52" t="str">
        <f>IF(B196=0,0,VLOOKUP(B196,MAT,3,FALSE))</f>
        <v>BRITA COMERCIAL</v>
      </c>
      <c r="E196" s="53"/>
      <c r="F196" s="53"/>
      <c r="G196" s="53"/>
      <c r="H196" s="53"/>
      <c r="I196" s="36"/>
      <c r="J196" s="54"/>
      <c r="K196" s="66" t="str">
        <f>IF(B196=0,0,VLOOKUP(B196,MAT,5,FALSE))</f>
        <v>M3</v>
      </c>
      <c r="L196" s="67">
        <f>IF(B196=0,0,VLOOKUP(B196,MAT,6,FALSE))</f>
        <v>30.630000000000003</v>
      </c>
      <c r="M196" s="68">
        <v>0.44700000000000001</v>
      </c>
      <c r="N196" s="278">
        <f>(L196*M196)</f>
        <v>13.691610000000001</v>
      </c>
    </row>
    <row r="197" spans="2:14" ht="20.100000000000001" customHeight="1">
      <c r="B197" s="260" t="s">
        <v>303</v>
      </c>
      <c r="D197" s="52" t="str">
        <f>IF(B197=0,0,VLOOKUP(B197,MAT,3,FALSE))</f>
        <v xml:space="preserve">AREIA </v>
      </c>
      <c r="E197" s="53"/>
      <c r="F197" s="53"/>
      <c r="G197" s="53"/>
      <c r="H197" s="53"/>
      <c r="I197" s="36"/>
      <c r="J197" s="54"/>
      <c r="K197" s="66" t="str">
        <f>IF(B197=0,0,VLOOKUP(B197,MAT,5,FALSE))</f>
        <v>M3</v>
      </c>
      <c r="L197" s="67">
        <f>IF(B197=0,0,VLOOKUP(B197,MAT,6,FALSE))</f>
        <v>23.28</v>
      </c>
      <c r="M197" s="68">
        <v>0.161</v>
      </c>
      <c r="N197" s="278">
        <f>(L197*M197)</f>
        <v>3.7480800000000003</v>
      </c>
    </row>
    <row r="198" spans="2:14" ht="20.100000000000001" customHeight="1">
      <c r="B198" s="260" t="s">
        <v>310</v>
      </c>
      <c r="D198" s="52" t="str">
        <f>IF(B198=0,0,VLOOKUP(B198,MAT,3,FALSE))</f>
        <v>FILLER</v>
      </c>
      <c r="E198" s="53"/>
      <c r="F198" s="53"/>
      <c r="G198" s="53"/>
      <c r="H198" s="53"/>
      <c r="I198" s="36"/>
      <c r="J198" s="54"/>
      <c r="K198" s="66" t="str">
        <f>IF(B198=0,0,VLOOKUP(B198,MAT,5,FALSE))</f>
        <v>KG</v>
      </c>
      <c r="L198" s="67">
        <f>IF(B198=0,0,VLOOKUP(B198,MAT,6,FALSE))</f>
        <v>0.05</v>
      </c>
      <c r="M198" s="68">
        <v>33</v>
      </c>
      <c r="N198" s="278">
        <f>(L198*M198)</f>
        <v>1.6500000000000001</v>
      </c>
    </row>
    <row r="199" spans="2:14" ht="20.100000000000001" customHeight="1">
      <c r="B199" s="260"/>
      <c r="D199" s="52"/>
      <c r="E199" s="53"/>
      <c r="F199" s="53"/>
      <c r="G199" s="53"/>
      <c r="H199" s="53"/>
      <c r="I199" s="36"/>
      <c r="J199" s="54"/>
      <c r="K199" s="66"/>
      <c r="L199" s="67"/>
      <c r="M199" s="75"/>
      <c r="N199" s="273"/>
    </row>
    <row r="200" spans="2:14" ht="20.100000000000001" customHeight="1">
      <c r="D200" s="43"/>
      <c r="E200" s="44"/>
      <c r="F200" s="44"/>
      <c r="G200" s="65"/>
      <c r="H200" s="44"/>
      <c r="I200" s="48"/>
      <c r="J200" s="46"/>
      <c r="K200" s="46"/>
      <c r="L200" s="48"/>
      <c r="M200" s="71" t="s">
        <v>106</v>
      </c>
      <c r="N200" s="270">
        <f>SUM(N195:N198)</f>
        <v>59.199689999999997</v>
      </c>
    </row>
    <row r="201" spans="2:14" ht="3.95" customHeight="1">
      <c r="D201" s="43"/>
      <c r="E201" s="44"/>
      <c r="F201" s="44"/>
      <c r="G201" s="65"/>
      <c r="H201" s="44"/>
      <c r="I201" s="48"/>
      <c r="J201" s="46"/>
      <c r="K201" s="46"/>
      <c r="L201" s="48"/>
      <c r="M201" s="46"/>
      <c r="N201" s="277"/>
    </row>
    <row r="202" spans="2:14" ht="20.100000000000001" customHeight="1">
      <c r="D202" s="527" t="s">
        <v>107</v>
      </c>
      <c r="E202" s="72" t="s">
        <v>2</v>
      </c>
      <c r="F202" s="73"/>
      <c r="G202" s="73"/>
      <c r="H202" s="74"/>
      <c r="I202" s="498" t="s">
        <v>108</v>
      </c>
      <c r="J202" s="499"/>
      <c r="K202" s="531" t="s">
        <v>103</v>
      </c>
      <c r="L202" s="514" t="s">
        <v>80</v>
      </c>
      <c r="M202" s="531" t="s">
        <v>109</v>
      </c>
      <c r="N202" s="529" t="s">
        <v>105</v>
      </c>
    </row>
    <row r="203" spans="2:14" ht="20.100000000000001" customHeight="1">
      <c r="D203" s="528"/>
      <c r="E203" s="512" t="s">
        <v>127</v>
      </c>
      <c r="F203" s="513"/>
      <c r="G203" s="512" t="s">
        <v>111</v>
      </c>
      <c r="H203" s="513"/>
      <c r="I203" s="500"/>
      <c r="J203" s="501"/>
      <c r="K203" s="532"/>
      <c r="L203" s="515"/>
      <c r="M203" s="532"/>
      <c r="N203" s="530"/>
    </row>
    <row r="204" spans="2:14" ht="20.100000000000001" customHeight="1">
      <c r="B204" s="260" t="s">
        <v>331</v>
      </c>
      <c r="D204" s="261" t="str">
        <f>IF(B204=0,0,VLOOKUP(B204,TRANS,3,FALSE))</f>
        <v xml:space="preserve">CBUQ </v>
      </c>
      <c r="E204" s="504">
        <f>IF(B204=0,0,VLOOKUP(B204,TRANS,5,FALSE))</f>
        <v>0.37</v>
      </c>
      <c r="F204" s="505"/>
      <c r="G204" s="553"/>
      <c r="H204" s="554"/>
      <c r="I204" s="504">
        <f>IF(B204=0,0,VLOOKUP(B204,TRANS,6,FALSE))</f>
        <v>25</v>
      </c>
      <c r="J204" s="505"/>
      <c r="K204" s="66" t="str">
        <f>IF(B204=0,0,VLOOKUP(B204,TRANS,4,FALSE))</f>
        <v>T.KM</v>
      </c>
      <c r="L204" s="67">
        <f>E204*I204</f>
        <v>9.25</v>
      </c>
      <c r="M204" s="68">
        <f>M195</f>
        <v>1</v>
      </c>
      <c r="N204" s="273">
        <f>ROUND(L204*M204,2)</f>
        <v>9.25</v>
      </c>
    </row>
    <row r="205" spans="2:14" ht="20.100000000000001" customHeight="1">
      <c r="B205" s="260" t="s">
        <v>328</v>
      </c>
      <c r="D205" s="261" t="str">
        <f>IF(B205=0,0,VLOOKUP(B205,TRANS,3,FALSE))</f>
        <v>BRITA ( PED - USINA )</v>
      </c>
      <c r="E205" s="504">
        <f>IF(B205=0,0,VLOOKUP(B205,TRANS,5,FALSE))</f>
        <v>0.33</v>
      </c>
      <c r="F205" s="505"/>
      <c r="G205" s="502"/>
      <c r="H205" s="503"/>
      <c r="I205" s="504">
        <f>IF(B205=0,0,VLOOKUP(B205,TRANS,6,FALSE))</f>
        <v>1</v>
      </c>
      <c r="J205" s="505"/>
      <c r="K205" s="66" t="str">
        <f>IF(B205=0,0,VLOOKUP(B205,TRANS,4,FALSE))</f>
        <v>T.KM</v>
      </c>
      <c r="L205" s="67">
        <f>(E205*I205)+H205</f>
        <v>0.33</v>
      </c>
      <c r="M205" s="68">
        <f>M196*1.5</f>
        <v>0.67049999999999998</v>
      </c>
      <c r="N205" s="278">
        <f>(L205*M205)</f>
        <v>0.22126500000000002</v>
      </c>
    </row>
    <row r="206" spans="2:14" ht="20.100000000000001" customHeight="1">
      <c r="B206" s="260" t="s">
        <v>326</v>
      </c>
      <c r="D206" s="261" t="str">
        <f>IF(B206=0,0,VLOOKUP(B206,TRANS,3,FALSE))</f>
        <v>AREIA ( AREAL - USINA )</v>
      </c>
      <c r="E206" s="504">
        <f>IF(B206=0,0,VLOOKUP(B206,TRANS,5,FALSE))</f>
        <v>0.33</v>
      </c>
      <c r="F206" s="505"/>
      <c r="G206" s="545"/>
      <c r="H206" s="546"/>
      <c r="I206" s="504">
        <f>IF(B206=0,0,VLOOKUP(B206,TRANS,6,FALSE))</f>
        <v>65.06</v>
      </c>
      <c r="J206" s="505"/>
      <c r="K206" s="66" t="str">
        <f>IF(B206=0,0,VLOOKUP(B206,TRANS,4,FALSE))</f>
        <v>T.KM</v>
      </c>
      <c r="L206" s="67">
        <f>(E206*I206)+H206</f>
        <v>21.469800000000003</v>
      </c>
      <c r="M206" s="68">
        <f>M197*1.5</f>
        <v>0.24149999999999999</v>
      </c>
      <c r="N206" s="278">
        <f>(L206*M206)</f>
        <v>5.1849567000000008</v>
      </c>
    </row>
    <row r="207" spans="2:14" ht="20.100000000000001" customHeight="1">
      <c r="B207" s="260" t="s">
        <v>334</v>
      </c>
      <c r="D207" s="261" t="str">
        <f>IF(B207=0,0,VLOOKUP(B207,TRANS,3,FALSE))</f>
        <v>FILLER</v>
      </c>
      <c r="E207" s="504">
        <f>IF(B207=0,0,VLOOKUP(B207,TRANS,5,FALSE))</f>
        <v>0.24</v>
      </c>
      <c r="F207" s="505"/>
      <c r="G207" s="545"/>
      <c r="H207" s="546"/>
      <c r="I207" s="504">
        <f>IF(B207=0,0,VLOOKUP(B207,TRANS,6,FALSE))</f>
        <v>50</v>
      </c>
      <c r="J207" s="505"/>
      <c r="K207" s="262" t="str">
        <f>IF(B207=0,0,VLOOKUP(B207,TRANS,4,FALSE))</f>
        <v>T.KM</v>
      </c>
      <c r="L207" s="67">
        <f>(E207*I207)+H207</f>
        <v>12</v>
      </c>
      <c r="M207" s="70">
        <f>M198/1000</f>
        <v>3.3000000000000002E-2</v>
      </c>
      <c r="N207" s="278">
        <f>L207*M207</f>
        <v>0.39600000000000002</v>
      </c>
    </row>
    <row r="208" spans="2:14" ht="20.100000000000001" customHeight="1">
      <c r="D208" s="98"/>
      <c r="E208" s="99"/>
      <c r="F208" s="44"/>
      <c r="G208" s="65"/>
      <c r="H208" s="44"/>
      <c r="I208" s="48"/>
      <c r="J208" s="46"/>
      <c r="K208" s="46"/>
      <c r="L208" s="48"/>
      <c r="M208" s="71" t="s">
        <v>112</v>
      </c>
      <c r="N208" s="270">
        <f>SUM(N204:N207)</f>
        <v>15.052221700000002</v>
      </c>
    </row>
    <row r="209" spans="2:14" ht="3.95" customHeight="1">
      <c r="D209" s="98"/>
      <c r="E209" s="99"/>
      <c r="F209" s="44"/>
      <c r="G209" s="65"/>
      <c r="H209" s="44"/>
      <c r="I209" s="48"/>
      <c r="J209" s="46"/>
      <c r="K209" s="46"/>
      <c r="L209" s="48"/>
      <c r="M209" s="100"/>
      <c r="N209" s="282"/>
    </row>
    <row r="210" spans="2:14" ht="20.100000000000001" customHeight="1">
      <c r="D210" s="98"/>
      <c r="E210" s="99"/>
      <c r="F210" s="44"/>
      <c r="G210" s="65"/>
      <c r="H210" s="44"/>
      <c r="I210" s="48"/>
      <c r="J210" s="46"/>
      <c r="K210" s="565" t="s">
        <v>129</v>
      </c>
      <c r="L210" s="566"/>
      <c r="M210" s="567"/>
      <c r="N210" s="279">
        <f>+N192+N200+N208</f>
        <v>83.881911700000003</v>
      </c>
    </row>
    <row r="211" spans="2:14" ht="20.100000000000001" customHeight="1">
      <c r="D211" s="98"/>
      <c r="E211" s="99"/>
      <c r="F211" s="44"/>
      <c r="G211" s="65"/>
      <c r="H211" s="44"/>
      <c r="I211" s="48"/>
      <c r="J211" s="46"/>
      <c r="K211" s="81" t="s">
        <v>115</v>
      </c>
      <c r="L211" s="359">
        <f>DI</f>
        <v>0.26700000000000002</v>
      </c>
      <c r="M211" s="83"/>
      <c r="N211" s="279">
        <f>L211*N210</f>
        <v>22.396470423900002</v>
      </c>
    </row>
    <row r="212" spans="2:14" ht="20.100000000000001" customHeight="1" thickBot="1">
      <c r="D212" s="102"/>
      <c r="E212" s="103"/>
      <c r="F212" s="104"/>
      <c r="G212" s="105"/>
      <c r="H212" s="104"/>
      <c r="I212" s="225"/>
      <c r="J212" s="85"/>
      <c r="K212" s="86" t="s">
        <v>130</v>
      </c>
      <c r="L212" s="280"/>
      <c r="M212" s="89"/>
      <c r="N212" s="281">
        <f>N210+N211</f>
        <v>106.2783821239</v>
      </c>
    </row>
    <row r="213" spans="2:14" ht="3.95" customHeight="1">
      <c r="D213" s="106"/>
      <c r="E213" s="107"/>
      <c r="F213" s="108"/>
      <c r="G213" s="109"/>
      <c r="H213" s="108"/>
      <c r="I213" s="226"/>
      <c r="J213" s="110"/>
      <c r="K213" s="111"/>
      <c r="L213" s="284"/>
      <c r="M213" s="111"/>
      <c r="N213" s="285"/>
    </row>
    <row r="214" spans="2:14" ht="3.95" customHeight="1" thickBot="1">
      <c r="D214" s="102"/>
      <c r="E214" s="103"/>
      <c r="F214" s="104"/>
      <c r="G214" s="105"/>
      <c r="H214" s="104"/>
      <c r="I214" s="225"/>
      <c r="J214" s="85"/>
      <c r="K214" s="112"/>
      <c r="L214" s="286"/>
      <c r="M214" s="112"/>
      <c r="N214" s="287"/>
    </row>
    <row r="215" spans="2:14" ht="20.100000000000001" customHeight="1">
      <c r="D215" s="571" t="s">
        <v>131</v>
      </c>
      <c r="E215" s="572"/>
      <c r="F215" s="572"/>
      <c r="G215" s="572"/>
      <c r="H215" s="572"/>
      <c r="I215" s="572"/>
      <c r="J215" s="573"/>
      <c r="K215" s="113" t="s">
        <v>103</v>
      </c>
      <c r="L215" s="34" t="s">
        <v>80</v>
      </c>
      <c r="M215" s="34" t="s">
        <v>104</v>
      </c>
      <c r="N215" s="288" t="s">
        <v>105</v>
      </c>
    </row>
    <row r="216" spans="2:14" ht="20.100000000000001" customHeight="1">
      <c r="B216" s="260" t="s">
        <v>530</v>
      </c>
      <c r="D216" s="264" t="str">
        <f>IF(B216=0,0,VLOOKUP(B216,MAT_BET,3,FALSE))</f>
        <v>AQUISIÇÃO CAP-20 C/ POLÍMEROS</v>
      </c>
      <c r="E216" s="265"/>
      <c r="F216" s="265"/>
      <c r="G216" s="265"/>
      <c r="H216" s="265"/>
      <c r="I216" s="265"/>
      <c r="J216" s="266"/>
      <c r="K216" s="262" t="str">
        <f>IF(B216=0,0,VLOOKUP(B216,MAT_BET,4,FALSE))</f>
        <v>T</v>
      </c>
      <c r="L216" s="67">
        <f>IF(B216=0,0,VLOOKUP(B216,MAT_BET,5,FALSE))</f>
        <v>1900</v>
      </c>
      <c r="M216" s="68">
        <v>0.06</v>
      </c>
      <c r="N216" s="273">
        <f>ROUND(L216*M216,2)</f>
        <v>114</v>
      </c>
    </row>
    <row r="217" spans="2:14" ht="20.100000000000001" customHeight="1">
      <c r="D217" s="114"/>
      <c r="E217" s="59"/>
      <c r="F217" s="59"/>
      <c r="G217" s="59"/>
      <c r="H217" s="59"/>
      <c r="I217" s="91"/>
      <c r="J217" s="115"/>
      <c r="K217" s="81" t="s">
        <v>115</v>
      </c>
      <c r="L217" s="359">
        <f>DI</f>
        <v>0.26700000000000002</v>
      </c>
      <c r="M217" s="83"/>
      <c r="N217" s="279">
        <f>L217*N216</f>
        <v>30.438000000000002</v>
      </c>
    </row>
    <row r="218" spans="2:14" ht="20.100000000000001" customHeight="1">
      <c r="D218" s="76"/>
      <c r="E218" s="77"/>
      <c r="F218" s="77"/>
      <c r="G218" s="77"/>
      <c r="H218" s="77"/>
      <c r="I218" s="156"/>
      <c r="J218" s="116"/>
      <c r="K218" s="81" t="s">
        <v>132</v>
      </c>
      <c r="L218" s="289"/>
      <c r="M218" s="83"/>
      <c r="N218" s="279">
        <f>N216+N217</f>
        <v>144.43799999999999</v>
      </c>
    </row>
    <row r="219" spans="2:14" ht="20.100000000000001" customHeight="1">
      <c r="D219" s="117"/>
      <c r="E219" s="118"/>
      <c r="F219" s="118"/>
      <c r="G219" s="118"/>
      <c r="H219" s="118"/>
      <c r="I219" s="94"/>
      <c r="J219" s="119"/>
      <c r="K219" s="113" t="s">
        <v>103</v>
      </c>
      <c r="L219" s="34" t="s">
        <v>80</v>
      </c>
      <c r="M219" s="34" t="s">
        <v>104</v>
      </c>
      <c r="N219" s="288" t="s">
        <v>105</v>
      </c>
    </row>
    <row r="220" spans="2:14" ht="20.100000000000001" customHeight="1">
      <c r="B220" s="260" t="s">
        <v>531</v>
      </c>
      <c r="D220" s="264" t="str">
        <f>IF(B220=0,0,VLOOKUP(B220,MAT_BET,3,FALSE))</f>
        <v>TRANSPORTE CAP-20 C/ POLÍMERO</v>
      </c>
      <c r="E220" s="265"/>
      <c r="F220" s="265"/>
      <c r="G220" s="265"/>
      <c r="H220" s="265"/>
      <c r="I220" s="265"/>
      <c r="J220" s="266"/>
      <c r="K220" s="262" t="str">
        <f>IF(B220=0,0,VLOOKUP(B220,MAT_BET,4,FALSE))</f>
        <v>T</v>
      </c>
      <c r="L220" s="67">
        <f>IF(B220=0,0,VLOOKUP(B220,MAT_BET,5,FALSE))</f>
        <v>230.69</v>
      </c>
      <c r="M220" s="68">
        <v>0.06</v>
      </c>
      <c r="N220" s="278">
        <f>(L220*M220)</f>
        <v>13.8414</v>
      </c>
    </row>
    <row r="221" spans="2:14" ht="20.100000000000001" customHeight="1">
      <c r="D221" s="114"/>
      <c r="E221" s="59"/>
      <c r="F221" s="59"/>
      <c r="G221" s="59"/>
      <c r="H221" s="59"/>
      <c r="I221" s="91"/>
      <c r="J221" s="115"/>
      <c r="K221" s="81" t="s">
        <v>115</v>
      </c>
      <c r="L221" s="359">
        <f>DI</f>
        <v>0.26700000000000002</v>
      </c>
      <c r="M221" s="83"/>
      <c r="N221" s="279">
        <f>L221*N220</f>
        <v>3.6956538000000001</v>
      </c>
    </row>
    <row r="222" spans="2:14" ht="20.100000000000001" customHeight="1" thickBot="1">
      <c r="D222" s="76"/>
      <c r="E222" s="77"/>
      <c r="F222" s="77"/>
      <c r="G222" s="77"/>
      <c r="H222" s="77"/>
      <c r="I222" s="156"/>
      <c r="J222" s="116"/>
      <c r="K222" s="97" t="s">
        <v>133</v>
      </c>
      <c r="L222" s="290"/>
      <c r="M222" s="120"/>
      <c r="N222" s="291">
        <f>N220+N221</f>
        <v>17.537053799999999</v>
      </c>
    </row>
    <row r="223" spans="2:14" ht="20.100000000000001" customHeight="1" thickBot="1">
      <c r="D223" s="121"/>
      <c r="E223" s="122"/>
      <c r="F223" s="122"/>
      <c r="G223" s="123"/>
      <c r="H223" s="122"/>
      <c r="I223" s="227"/>
      <c r="J223" s="124"/>
      <c r="K223" s="549" t="s">
        <v>134</v>
      </c>
      <c r="L223" s="549"/>
      <c r="M223" s="550"/>
      <c r="N223" s="292">
        <f>N218+N222</f>
        <v>161.97505379999998</v>
      </c>
    </row>
    <row r="224" spans="2:14" ht="3.95" customHeight="1" thickBot="1">
      <c r="D224" s="43"/>
      <c r="E224" s="44"/>
      <c r="F224" s="44"/>
      <c r="G224" s="65"/>
      <c r="H224" s="44"/>
      <c r="I224" s="48"/>
      <c r="J224" s="46"/>
      <c r="K224" s="125"/>
      <c r="L224" s="293"/>
      <c r="M224" s="125"/>
      <c r="N224" s="282"/>
    </row>
    <row r="225" spans="2:14" ht="20.100000000000001" customHeight="1">
      <c r="D225" s="126"/>
      <c r="E225" s="108"/>
      <c r="F225" s="108"/>
      <c r="G225" s="109"/>
      <c r="H225" s="108"/>
      <c r="I225" s="228" t="s">
        <v>114</v>
      </c>
      <c r="J225" s="128"/>
      <c r="K225" s="128"/>
      <c r="L225" s="354">
        <v>0.02</v>
      </c>
      <c r="M225" s="129"/>
      <c r="N225" s="294">
        <f>(N210+N216+N220)*L225</f>
        <v>4.2344662340000001</v>
      </c>
    </row>
    <row r="226" spans="2:14" ht="20.100000000000001" customHeight="1">
      <c r="D226" s="43"/>
      <c r="E226" s="44"/>
      <c r="F226" s="44"/>
      <c r="G226" s="65"/>
      <c r="H226" s="44"/>
      <c r="I226" s="563" t="s">
        <v>135</v>
      </c>
      <c r="J226" s="564"/>
      <c r="K226" s="564"/>
      <c r="L226" s="564"/>
      <c r="M226" s="125"/>
      <c r="N226" s="282">
        <f>N210+N216+N220+N225</f>
        <v>215.95777793399998</v>
      </c>
    </row>
    <row r="227" spans="2:14" ht="20.100000000000001" customHeight="1" thickBot="1">
      <c r="D227" s="130"/>
      <c r="E227" s="104"/>
      <c r="F227" s="104"/>
      <c r="G227" s="105"/>
      <c r="H227" s="104"/>
      <c r="I227" s="537" t="s">
        <v>136</v>
      </c>
      <c r="J227" s="538"/>
      <c r="K227" s="538"/>
      <c r="L227" s="538"/>
      <c r="M227" s="131"/>
      <c r="N227" s="295">
        <f>N226*2.4</f>
        <v>518.29866704159997</v>
      </c>
    </row>
    <row r="228" spans="2:14" ht="3.95" customHeight="1" thickBot="1">
      <c r="D228" s="98"/>
      <c r="E228" s="99"/>
      <c r="F228" s="44"/>
      <c r="G228" s="65"/>
      <c r="H228" s="44"/>
      <c r="I228" s="48"/>
      <c r="J228" s="46"/>
      <c r="K228" s="46"/>
      <c r="L228" s="48"/>
      <c r="M228" s="100"/>
      <c r="N228" s="282"/>
    </row>
    <row r="229" spans="2:14" ht="20.100000000000001" customHeight="1">
      <c r="D229" s="133"/>
      <c r="E229" s="134"/>
      <c r="F229" s="134"/>
      <c r="G229" s="134"/>
      <c r="H229" s="134"/>
      <c r="I229" s="229" t="s">
        <v>137</v>
      </c>
      <c r="J229" s="135"/>
      <c r="K229" s="135"/>
      <c r="L229" s="354">
        <f>DI</f>
        <v>0.26700000000000002</v>
      </c>
      <c r="M229" s="136"/>
      <c r="N229" s="294">
        <f>(N226*L217)+N226</f>
        <v>273.61850464237796</v>
      </c>
    </row>
    <row r="230" spans="2:14" ht="20.100000000000001" customHeight="1" thickBot="1">
      <c r="D230" s="137"/>
      <c r="E230" s="138"/>
      <c r="F230" s="138"/>
      <c r="G230" s="138"/>
      <c r="H230" s="138"/>
      <c r="I230" s="230" t="s">
        <v>138</v>
      </c>
      <c r="J230" s="139"/>
      <c r="K230" s="139"/>
      <c r="L230" s="358">
        <f>DI</f>
        <v>0.26700000000000002</v>
      </c>
      <c r="M230" s="140"/>
      <c r="N230" s="295">
        <f>N229</f>
        <v>273.61850464237796</v>
      </c>
    </row>
    <row r="233" spans="2:14" ht="20.100000000000001" customHeight="1" thickBot="1"/>
    <row r="234" spans="2:14" ht="20.100000000000001" customHeight="1">
      <c r="B234" s="197" t="s">
        <v>188</v>
      </c>
      <c r="D234" s="520"/>
      <c r="E234" s="521"/>
      <c r="F234" s="542" t="s">
        <v>74</v>
      </c>
      <c r="G234" s="543"/>
      <c r="H234" s="543"/>
      <c r="I234" s="543"/>
      <c r="J234" s="543"/>
      <c r="K234" s="543"/>
      <c r="L234" s="544"/>
      <c r="M234" s="19" t="s">
        <v>75</v>
      </c>
      <c r="N234" s="20" t="s">
        <v>76</v>
      </c>
    </row>
    <row r="235" spans="2:14" ht="34.5" customHeight="1">
      <c r="D235" s="522"/>
      <c r="E235" s="523"/>
      <c r="F235" s="574" t="str">
        <f>VLOOKUP(B234,Resumo_Composições,3,FALSE)</f>
        <v>CONCRETO BETUMINOSO USINADO A QUENTE COM ASFALTO-BORRACHA - CAPA DE ROLAMENTO</v>
      </c>
      <c r="G235" s="575"/>
      <c r="H235" s="575"/>
      <c r="I235" s="575"/>
      <c r="J235" s="575"/>
      <c r="K235" s="575"/>
      <c r="L235" s="576"/>
      <c r="M235" s="24" t="str">
        <f>VLOOKUP(B234,Resumo_Composições,4,FALSE)</f>
        <v>TON</v>
      </c>
      <c r="N235" s="25">
        <f>DATA</f>
        <v>41214</v>
      </c>
    </row>
    <row r="236" spans="2:14" ht="20.100000000000001" customHeight="1">
      <c r="D236" s="561" t="s">
        <v>77</v>
      </c>
      <c r="E236" s="562"/>
      <c r="F236" s="562"/>
      <c r="G236" s="562"/>
      <c r="H236" s="536"/>
      <c r="I236" s="51" t="s">
        <v>78</v>
      </c>
      <c r="J236" s="535" t="s">
        <v>79</v>
      </c>
      <c r="K236" s="536"/>
      <c r="L236" s="535" t="s">
        <v>80</v>
      </c>
      <c r="M236" s="536"/>
      <c r="N236" s="516" t="s">
        <v>81</v>
      </c>
    </row>
    <row r="237" spans="2:14" ht="20.100000000000001" customHeight="1">
      <c r="D237" s="31"/>
      <c r="E237" s="32"/>
      <c r="F237" s="32"/>
      <c r="G237" s="32"/>
      <c r="H237" s="33"/>
      <c r="I237" s="34"/>
      <c r="J237" s="34" t="s">
        <v>82</v>
      </c>
      <c r="K237" s="34" t="s">
        <v>83</v>
      </c>
      <c r="L237" s="34" t="s">
        <v>82</v>
      </c>
      <c r="M237" s="34" t="s">
        <v>84</v>
      </c>
      <c r="N237" s="517"/>
    </row>
    <row r="238" spans="2:14" ht="20.100000000000001" customHeight="1">
      <c r="B238" s="260" t="s">
        <v>292</v>
      </c>
      <c r="D238" s="35" t="str">
        <f t="shared" ref="D238:D243" si="15">IF(B238=0,0,VLOOKUP(B238,EQUIP,3,FALSE))</f>
        <v>TRATOR AGRICOLA (77 KW)</v>
      </c>
      <c r="E238" s="91"/>
      <c r="F238" s="91"/>
      <c r="G238" s="91"/>
      <c r="H238" s="92"/>
      <c r="I238" s="215">
        <v>1</v>
      </c>
      <c r="J238" s="38">
        <v>0.15</v>
      </c>
      <c r="K238" s="38">
        <v>0.85</v>
      </c>
      <c r="L238" s="215">
        <f t="shared" ref="L238:L243" si="16">IF(B238=0,0,VLOOKUP(B238,EQUIP,6,FALSE))</f>
        <v>65.799899999999994</v>
      </c>
      <c r="M238" s="38">
        <f t="shared" ref="M238:M243" si="17">IF(B238=0,0,VLOOKUP(B238,EQUIP,7,FALSE))</f>
        <v>17.27</v>
      </c>
      <c r="N238" s="269">
        <f t="shared" ref="N238:N243" si="18">ROUND(I238*J238*L238+I238*K238*M238,2)</f>
        <v>24.55</v>
      </c>
    </row>
    <row r="239" spans="2:14" ht="20.100000000000001" customHeight="1">
      <c r="B239" s="260" t="s">
        <v>288</v>
      </c>
      <c r="D239" s="35" t="str">
        <f t="shared" si="15"/>
        <v>ROLO COMPACTADOR TANDEM VIBRAT. AUTOPROPO. 10,9 T (112 KW)</v>
      </c>
      <c r="E239" s="91"/>
      <c r="F239" s="91"/>
      <c r="G239" s="91"/>
      <c r="H239" s="92"/>
      <c r="I239" s="224">
        <v>1</v>
      </c>
      <c r="J239" s="38">
        <v>0.55000000000000004</v>
      </c>
      <c r="K239" s="38">
        <v>0.45</v>
      </c>
      <c r="L239" s="215">
        <f t="shared" si="16"/>
        <v>112.07</v>
      </c>
      <c r="M239" s="38">
        <f t="shared" si="17"/>
        <v>17.27</v>
      </c>
      <c r="N239" s="269">
        <f t="shared" si="18"/>
        <v>69.41</v>
      </c>
    </row>
    <row r="240" spans="2:14" ht="20.100000000000001" customHeight="1">
      <c r="B240" s="260" t="s">
        <v>284</v>
      </c>
      <c r="D240" s="35" t="str">
        <f t="shared" si="15"/>
        <v>ROLO COMPACTADOR - DE PNEUS AUTOPROPELIDO 21 t (97kW)</v>
      </c>
      <c r="E240" s="91"/>
      <c r="F240" s="91"/>
      <c r="G240" s="91"/>
      <c r="H240" s="92"/>
      <c r="I240" s="224">
        <v>1</v>
      </c>
      <c r="J240" s="38">
        <v>0.55000000000000004</v>
      </c>
      <c r="K240" s="38">
        <v>0.45</v>
      </c>
      <c r="L240" s="215">
        <f t="shared" si="16"/>
        <v>96.39</v>
      </c>
      <c r="M240" s="38">
        <f t="shared" si="17"/>
        <v>17.27</v>
      </c>
      <c r="N240" s="269">
        <f t="shared" si="18"/>
        <v>60.79</v>
      </c>
    </row>
    <row r="241" spans="2:14" ht="20.100000000000001" customHeight="1">
      <c r="B241" s="260" t="s">
        <v>296</v>
      </c>
      <c r="D241" s="35" t="str">
        <f t="shared" si="15"/>
        <v>VASSOURA MECÂNICA REBOCÁVEL</v>
      </c>
      <c r="E241" s="36"/>
      <c r="F241" s="36"/>
      <c r="G241" s="36"/>
      <c r="H241" s="37"/>
      <c r="I241" s="215">
        <v>1</v>
      </c>
      <c r="J241" s="38">
        <v>0.15</v>
      </c>
      <c r="K241" s="38">
        <v>0.85</v>
      </c>
      <c r="L241" s="215">
        <f t="shared" si="16"/>
        <v>3.83</v>
      </c>
      <c r="M241" s="38">
        <f t="shared" si="17"/>
        <v>0</v>
      </c>
      <c r="N241" s="269">
        <f t="shared" si="18"/>
        <v>0.56999999999999995</v>
      </c>
    </row>
    <row r="242" spans="2:14" ht="20.100000000000001" customHeight="1">
      <c r="B242" s="260" t="s">
        <v>297</v>
      </c>
      <c r="D242" s="35" t="str">
        <f t="shared" si="15"/>
        <v>VIBRO ACABADORA ASFALTO B.GREENE</v>
      </c>
      <c r="E242" s="36"/>
      <c r="F242" s="36"/>
      <c r="G242" s="36"/>
      <c r="H242" s="37"/>
      <c r="I242" s="215">
        <v>1</v>
      </c>
      <c r="J242" s="38">
        <v>0.65</v>
      </c>
      <c r="K242" s="38">
        <v>0.35</v>
      </c>
      <c r="L242" s="215">
        <f t="shared" si="16"/>
        <v>357.07</v>
      </c>
      <c r="M242" s="38">
        <f t="shared" si="17"/>
        <v>227.45358999999999</v>
      </c>
      <c r="N242" s="269">
        <f t="shared" si="18"/>
        <v>311.7</v>
      </c>
    </row>
    <row r="243" spans="2:14" ht="20.100000000000001" customHeight="1">
      <c r="B243" s="260" t="s">
        <v>262</v>
      </c>
      <c r="D243" s="35" t="str">
        <f t="shared" si="15"/>
        <v>CAMINHÃO BASCULANTE 10m3 - 15 T (170 KW)</v>
      </c>
      <c r="E243" s="36"/>
      <c r="F243" s="36"/>
      <c r="G243" s="36"/>
      <c r="H243" s="37"/>
      <c r="I243" s="224">
        <v>1.7</v>
      </c>
      <c r="J243" s="38">
        <v>0.65</v>
      </c>
      <c r="K243" s="38">
        <v>0.35</v>
      </c>
      <c r="L243" s="215">
        <f t="shared" si="16"/>
        <v>135.83000000000001</v>
      </c>
      <c r="M243" s="38">
        <f t="shared" si="17"/>
        <v>20.47</v>
      </c>
      <c r="N243" s="269">
        <f t="shared" si="18"/>
        <v>162.27000000000001</v>
      </c>
    </row>
    <row r="244" spans="2:14" ht="20.100000000000001" customHeight="1">
      <c r="B244" s="260"/>
      <c r="D244" s="93"/>
      <c r="E244" s="94"/>
      <c r="F244" s="94"/>
      <c r="G244" s="94"/>
      <c r="H244" s="95"/>
      <c r="I244" s="215"/>
      <c r="J244" s="38"/>
      <c r="K244" s="38"/>
      <c r="L244" s="57"/>
      <c r="M244" s="39"/>
      <c r="N244" s="269"/>
    </row>
    <row r="245" spans="2:14" ht="20.100000000000001" customHeight="1">
      <c r="D245" s="40"/>
      <c r="E245" s="41"/>
      <c r="F245" s="41"/>
      <c r="G245" s="41"/>
      <c r="H245" s="41"/>
      <c r="I245" s="216"/>
      <c r="J245" s="41"/>
      <c r="K245" s="41"/>
      <c r="L245" s="216"/>
      <c r="M245" s="42" t="s">
        <v>89</v>
      </c>
      <c r="N245" s="270">
        <f>SUM(N238:N243)</f>
        <v>629.29</v>
      </c>
    </row>
    <row r="246" spans="2:14" ht="3.95" customHeight="1">
      <c r="D246" s="43"/>
      <c r="E246" s="44"/>
      <c r="F246" s="44"/>
      <c r="G246" s="45"/>
      <c r="H246" s="44"/>
      <c r="I246" s="217"/>
      <c r="J246" s="46"/>
      <c r="K246" s="47"/>
      <c r="L246" s="48"/>
      <c r="M246" s="48"/>
      <c r="N246" s="271"/>
    </row>
    <row r="247" spans="2:14" ht="20.100000000000001" customHeight="1">
      <c r="D247" s="518" t="s">
        <v>90</v>
      </c>
      <c r="E247" s="519"/>
      <c r="F247" s="519"/>
      <c r="G247" s="519"/>
      <c r="H247" s="519"/>
      <c r="I247" s="519"/>
      <c r="J247" s="513"/>
      <c r="K247" s="50" t="s">
        <v>91</v>
      </c>
      <c r="L247" s="51" t="s">
        <v>92</v>
      </c>
      <c r="M247" s="51" t="s">
        <v>93</v>
      </c>
      <c r="N247" s="272" t="s">
        <v>94</v>
      </c>
    </row>
    <row r="248" spans="2:14" ht="20.100000000000001" customHeight="1">
      <c r="B248" s="260" t="s">
        <v>250</v>
      </c>
      <c r="D248" s="52" t="str">
        <f>IF(B248=0,0,VLOOKUP(B248,MO,2,FALSE))</f>
        <v>ENCARREGADO DE PAVIMENTAÇÃO</v>
      </c>
      <c r="E248" s="53"/>
      <c r="F248" s="53"/>
      <c r="G248" s="53"/>
      <c r="H248" s="53"/>
      <c r="I248" s="36"/>
      <c r="J248" s="54"/>
      <c r="K248" s="39"/>
      <c r="L248" s="55">
        <v>1</v>
      </c>
      <c r="M248" s="55">
        <f>IF(B248=0,0,VLOOKUP(B248,MO,6,FALSE))</f>
        <v>44.786799999999999</v>
      </c>
      <c r="N248" s="273">
        <f>ROUND(L248*M248,2)</f>
        <v>44.79</v>
      </c>
    </row>
    <row r="249" spans="2:14" ht="20.100000000000001" customHeight="1">
      <c r="B249" s="260" t="s">
        <v>248</v>
      </c>
      <c r="D249" s="52" t="str">
        <f>IF(B249=0,0,VLOOKUP(B249,MO,2,FALSE))</f>
        <v>SERVENTE</v>
      </c>
      <c r="E249" s="53"/>
      <c r="F249" s="53"/>
      <c r="G249" s="53"/>
      <c r="H249" s="53"/>
      <c r="I249" s="36"/>
      <c r="J249" s="54"/>
      <c r="K249" s="39"/>
      <c r="L249" s="55">
        <v>6</v>
      </c>
      <c r="M249" s="55">
        <f>IF(B249=0,0,VLOOKUP(B249,MO,6,FALSE))</f>
        <v>7.9973000000000001</v>
      </c>
      <c r="N249" s="273">
        <f>ROUND(L249*M249,2)</f>
        <v>47.98</v>
      </c>
    </row>
    <row r="250" spans="2:14" ht="20.100000000000001" customHeight="1">
      <c r="B250" s="260"/>
      <c r="D250" s="52" t="s">
        <v>122</v>
      </c>
      <c r="E250" s="53"/>
      <c r="F250" s="53"/>
      <c r="G250" s="53"/>
      <c r="H250" s="53"/>
      <c r="I250" s="36"/>
      <c r="J250" s="54"/>
      <c r="K250" s="56">
        <v>0</v>
      </c>
      <c r="L250" s="57">
        <f>N248+N249</f>
        <v>92.77</v>
      </c>
      <c r="M250" s="55"/>
      <c r="N250" s="445">
        <f>ROUND(L250*K250,2)</f>
        <v>0</v>
      </c>
    </row>
    <row r="251" spans="2:14" ht="20.100000000000001" customHeight="1">
      <c r="D251" s="58"/>
      <c r="E251" s="59"/>
      <c r="F251" s="60"/>
      <c r="G251" s="60"/>
      <c r="H251" s="44"/>
      <c r="I251" s="217"/>
      <c r="J251" s="61"/>
      <c r="K251" s="47"/>
      <c r="L251" s="48"/>
      <c r="M251" s="62" t="s">
        <v>98</v>
      </c>
      <c r="N251" s="270">
        <f>SUM(N248:N250)</f>
        <v>92.77</v>
      </c>
    </row>
    <row r="252" spans="2:14" ht="3.95" customHeight="1">
      <c r="D252" s="43"/>
      <c r="E252" s="44"/>
      <c r="F252" s="44"/>
      <c r="G252" s="44"/>
      <c r="H252" s="44"/>
      <c r="I252" s="217"/>
      <c r="J252" s="61"/>
      <c r="K252" s="47"/>
      <c r="L252" s="48"/>
      <c r="M252" s="48"/>
      <c r="N252" s="271"/>
    </row>
    <row r="253" spans="2:14" ht="20.100000000000001" customHeight="1">
      <c r="D253" s="40"/>
      <c r="E253" s="60"/>
      <c r="F253" s="60"/>
      <c r="G253" s="60"/>
      <c r="H253" s="63"/>
      <c r="I253" s="218"/>
      <c r="J253" s="63"/>
      <c r="K253" s="509" t="s">
        <v>99</v>
      </c>
      <c r="L253" s="510"/>
      <c r="M253" s="511"/>
      <c r="N253" s="275">
        <f>+N245+N251</f>
        <v>722.06</v>
      </c>
    </row>
    <row r="254" spans="2:14" ht="3.95" customHeight="1">
      <c r="D254" s="64"/>
      <c r="E254" s="44"/>
      <c r="F254" s="44"/>
      <c r="G254" s="45"/>
      <c r="H254" s="44"/>
      <c r="I254" s="217"/>
      <c r="J254" s="46"/>
      <c r="K254" s="47"/>
      <c r="L254" s="48"/>
      <c r="M254" s="48"/>
      <c r="N254" s="271"/>
    </row>
    <row r="255" spans="2:14" ht="20.100000000000001" customHeight="1">
      <c r="D255" s="58"/>
      <c r="E255" s="509" t="s">
        <v>100</v>
      </c>
      <c r="F255" s="510"/>
      <c r="G255" s="510"/>
      <c r="H255" s="511"/>
      <c r="I255" s="219">
        <v>65</v>
      </c>
      <c r="J255" s="48"/>
      <c r="K255" s="506" t="s">
        <v>101</v>
      </c>
      <c r="L255" s="507"/>
      <c r="M255" s="507"/>
      <c r="N255" s="276">
        <f>ROUND(N253/I255,2)</f>
        <v>11.11</v>
      </c>
    </row>
    <row r="256" spans="2:14" ht="3.95" customHeight="1">
      <c r="D256" s="43"/>
      <c r="E256" s="44"/>
      <c r="F256" s="44"/>
      <c r="G256" s="65"/>
      <c r="H256" s="44"/>
      <c r="I256" s="48"/>
      <c r="J256" s="46"/>
      <c r="K256" s="46"/>
      <c r="L256" s="48"/>
      <c r="M256" s="46"/>
      <c r="N256" s="277"/>
    </row>
    <row r="257" spans="2:14" ht="20.100000000000001" customHeight="1">
      <c r="D257" s="49" t="s">
        <v>102</v>
      </c>
      <c r="E257" s="22"/>
      <c r="F257" s="22"/>
      <c r="G257" s="22"/>
      <c r="H257" s="22"/>
      <c r="I257" s="141"/>
      <c r="J257" s="23"/>
      <c r="K257" s="50" t="s">
        <v>103</v>
      </c>
      <c r="L257" s="51" t="s">
        <v>80</v>
      </c>
      <c r="M257" s="51" t="s">
        <v>104</v>
      </c>
      <c r="N257" s="272" t="s">
        <v>105</v>
      </c>
    </row>
    <row r="258" spans="2:14" ht="20.100000000000001" customHeight="1">
      <c r="B258" s="260" t="s">
        <v>306</v>
      </c>
      <c r="D258" s="52" t="str">
        <f>IF(B258=0,0,VLOOKUP(B258,MAT,3,FALSE))</f>
        <v>CBUQ - USINAGEM</v>
      </c>
      <c r="E258" s="53"/>
      <c r="F258" s="53"/>
      <c r="G258" s="53"/>
      <c r="H258" s="53"/>
      <c r="I258" s="36"/>
      <c r="J258" s="54"/>
      <c r="K258" s="66" t="str">
        <f>IF(B258=0,0,VLOOKUP(B258,MAT,5,FALSE))</f>
        <v>T</v>
      </c>
      <c r="L258" s="67">
        <f>IF(B258=0,0,VLOOKUP(B258,MAT,6,FALSE))</f>
        <v>40.11</v>
      </c>
      <c r="M258" s="68">
        <v>1</v>
      </c>
      <c r="N258" s="273">
        <f>ROUND(L258*M258,2)</f>
        <v>40.11</v>
      </c>
    </row>
    <row r="259" spans="2:14" ht="20.100000000000001" customHeight="1">
      <c r="B259" s="260" t="s">
        <v>305</v>
      </c>
      <c r="D259" s="52" t="str">
        <f>IF(B259=0,0,VLOOKUP(B259,MAT,3,FALSE))</f>
        <v>BRITA COMERCIAL</v>
      </c>
      <c r="E259" s="53"/>
      <c r="F259" s="53"/>
      <c r="G259" s="53"/>
      <c r="H259" s="53"/>
      <c r="I259" s="36"/>
      <c r="J259" s="54"/>
      <c r="K259" s="66" t="str">
        <f>IF(B259=0,0,VLOOKUP(B259,MAT,5,FALSE))</f>
        <v>M3</v>
      </c>
      <c r="L259" s="67">
        <f>IF(B259=0,0,VLOOKUP(B259,MAT,6,FALSE))</f>
        <v>30.630000000000003</v>
      </c>
      <c r="M259" s="68">
        <v>0.44700000000000001</v>
      </c>
      <c r="N259" s="278">
        <f>(L259*M259)</f>
        <v>13.691610000000001</v>
      </c>
    </row>
    <row r="260" spans="2:14" ht="20.100000000000001" customHeight="1">
      <c r="B260" s="260" t="s">
        <v>303</v>
      </c>
      <c r="D260" s="52" t="str">
        <f>IF(B260=0,0,VLOOKUP(B260,MAT,3,FALSE))</f>
        <v xml:space="preserve">AREIA </v>
      </c>
      <c r="E260" s="53"/>
      <c r="F260" s="53"/>
      <c r="G260" s="53"/>
      <c r="H260" s="53"/>
      <c r="I260" s="36"/>
      <c r="J260" s="54"/>
      <c r="K260" s="66" t="str">
        <f>IF(B260=0,0,VLOOKUP(B260,MAT,5,FALSE))</f>
        <v>M3</v>
      </c>
      <c r="L260" s="67">
        <f>IF(B260=0,0,VLOOKUP(B260,MAT,6,FALSE))</f>
        <v>23.28</v>
      </c>
      <c r="M260" s="68">
        <v>0.161</v>
      </c>
      <c r="N260" s="278">
        <f>(L260*M260)</f>
        <v>3.7480800000000003</v>
      </c>
    </row>
    <row r="261" spans="2:14" ht="20.100000000000001" customHeight="1">
      <c r="B261" s="260" t="s">
        <v>310</v>
      </c>
      <c r="D261" s="52" t="str">
        <f>IF(B261=0,0,VLOOKUP(B261,MAT,3,FALSE))</f>
        <v>FILLER</v>
      </c>
      <c r="E261" s="53"/>
      <c r="F261" s="53"/>
      <c r="G261" s="53"/>
      <c r="H261" s="53"/>
      <c r="I261" s="36"/>
      <c r="J261" s="54"/>
      <c r="K261" s="66" t="str">
        <f>IF(B261=0,0,VLOOKUP(B261,MAT,5,FALSE))</f>
        <v>KG</v>
      </c>
      <c r="L261" s="67">
        <f>IF(B261=0,0,VLOOKUP(B261,MAT,6,FALSE))</f>
        <v>0.05</v>
      </c>
      <c r="M261" s="68">
        <v>33</v>
      </c>
      <c r="N261" s="278">
        <f>(L261*M261)</f>
        <v>1.6500000000000001</v>
      </c>
    </row>
    <row r="262" spans="2:14" ht="20.100000000000001" customHeight="1">
      <c r="B262" s="260"/>
      <c r="D262" s="52"/>
      <c r="E262" s="53"/>
      <c r="F262" s="53"/>
      <c r="G262" s="53"/>
      <c r="H262" s="53"/>
      <c r="I262" s="36"/>
      <c r="J262" s="54"/>
      <c r="K262" s="66"/>
      <c r="L262" s="67"/>
      <c r="M262" s="75"/>
      <c r="N262" s="273"/>
    </row>
    <row r="263" spans="2:14" ht="20.100000000000001" customHeight="1">
      <c r="D263" s="43"/>
      <c r="E263" s="44"/>
      <c r="F263" s="44"/>
      <c r="G263" s="65"/>
      <c r="H263" s="44"/>
      <c r="I263" s="48"/>
      <c r="J263" s="46"/>
      <c r="K263" s="46"/>
      <c r="L263" s="48"/>
      <c r="M263" s="71" t="s">
        <v>106</v>
      </c>
      <c r="N263" s="270">
        <f>SUM(N258:N261)</f>
        <v>59.199689999999997</v>
      </c>
    </row>
    <row r="264" spans="2:14" ht="3.95" customHeight="1">
      <c r="D264" s="43"/>
      <c r="E264" s="44"/>
      <c r="F264" s="44"/>
      <c r="G264" s="65"/>
      <c r="H264" s="44"/>
      <c r="I264" s="48"/>
      <c r="J264" s="46"/>
      <c r="K264" s="46"/>
      <c r="L264" s="48"/>
      <c r="M264" s="46"/>
      <c r="N264" s="277"/>
    </row>
    <row r="265" spans="2:14" ht="20.100000000000001" customHeight="1">
      <c r="D265" s="527" t="s">
        <v>107</v>
      </c>
      <c r="E265" s="72" t="s">
        <v>2</v>
      </c>
      <c r="F265" s="73"/>
      <c r="G265" s="73"/>
      <c r="H265" s="74"/>
      <c r="I265" s="498" t="s">
        <v>108</v>
      </c>
      <c r="J265" s="499"/>
      <c r="K265" s="531" t="s">
        <v>103</v>
      </c>
      <c r="L265" s="514" t="s">
        <v>80</v>
      </c>
      <c r="M265" s="531" t="s">
        <v>109</v>
      </c>
      <c r="N265" s="529" t="s">
        <v>105</v>
      </c>
    </row>
    <row r="266" spans="2:14" ht="20.100000000000001" customHeight="1">
      <c r="D266" s="528"/>
      <c r="E266" s="512" t="s">
        <v>127</v>
      </c>
      <c r="F266" s="513"/>
      <c r="G266" s="512" t="s">
        <v>111</v>
      </c>
      <c r="H266" s="513"/>
      <c r="I266" s="500"/>
      <c r="J266" s="501"/>
      <c r="K266" s="532"/>
      <c r="L266" s="515"/>
      <c r="M266" s="532"/>
      <c r="N266" s="530"/>
    </row>
    <row r="267" spans="2:14" ht="20.100000000000001" customHeight="1">
      <c r="B267" s="260" t="s">
        <v>331</v>
      </c>
      <c r="D267" s="261" t="str">
        <f>IF(B267=0,0,VLOOKUP(B267,TRANS,3,FALSE))</f>
        <v xml:space="preserve">CBUQ </v>
      </c>
      <c r="E267" s="504">
        <f>IF(B267=0,0,VLOOKUP(B267,TRANS,5,FALSE))</f>
        <v>0.37</v>
      </c>
      <c r="F267" s="505"/>
      <c r="G267" s="553"/>
      <c r="H267" s="554"/>
      <c r="I267" s="504">
        <f>IF(B267=0,0,VLOOKUP(B267,TRANS,6,FALSE))</f>
        <v>25</v>
      </c>
      <c r="J267" s="505"/>
      <c r="K267" s="66" t="str">
        <f>IF(B267=0,0,VLOOKUP(B267,TRANS,4,FALSE))</f>
        <v>T.KM</v>
      </c>
      <c r="L267" s="67">
        <f>E267*I267</f>
        <v>9.25</v>
      </c>
      <c r="M267" s="68">
        <f>M258</f>
        <v>1</v>
      </c>
      <c r="N267" s="273">
        <f>ROUND(L267*M267,2)</f>
        <v>9.25</v>
      </c>
    </row>
    <row r="268" spans="2:14" ht="20.100000000000001" customHeight="1">
      <c r="B268" s="260" t="s">
        <v>328</v>
      </c>
      <c r="D268" s="261" t="str">
        <f>IF(B268=0,0,VLOOKUP(B268,TRANS,3,FALSE))</f>
        <v>BRITA ( PED - USINA )</v>
      </c>
      <c r="E268" s="504">
        <f>IF(B268=0,0,VLOOKUP(B268,TRANS,5,FALSE))</f>
        <v>0.33</v>
      </c>
      <c r="F268" s="505"/>
      <c r="G268" s="502"/>
      <c r="H268" s="503"/>
      <c r="I268" s="504">
        <f>IF(B268=0,0,VLOOKUP(B268,TRANS,6,FALSE))</f>
        <v>1</v>
      </c>
      <c r="J268" s="505"/>
      <c r="K268" s="66" t="str">
        <f>IF(B268=0,0,VLOOKUP(B268,TRANS,4,FALSE))</f>
        <v>T.KM</v>
      </c>
      <c r="L268" s="67">
        <f>(E268*I268)+H268</f>
        <v>0.33</v>
      </c>
      <c r="M268" s="68">
        <f>M259*1.5</f>
        <v>0.67049999999999998</v>
      </c>
      <c r="N268" s="278">
        <f>(L268*M268)</f>
        <v>0.22126500000000002</v>
      </c>
    </row>
    <row r="269" spans="2:14" ht="20.100000000000001" customHeight="1">
      <c r="B269" s="260" t="s">
        <v>326</v>
      </c>
      <c r="D269" s="261" t="str">
        <f>IF(B269=0,0,VLOOKUP(B269,TRANS,3,FALSE))</f>
        <v>AREIA ( AREAL - USINA )</v>
      </c>
      <c r="E269" s="504">
        <f>IF(B269=0,0,VLOOKUP(B269,TRANS,5,FALSE))</f>
        <v>0.33</v>
      </c>
      <c r="F269" s="505"/>
      <c r="G269" s="545"/>
      <c r="H269" s="546"/>
      <c r="I269" s="504">
        <f>IF(B269=0,0,VLOOKUP(B269,TRANS,6,FALSE))</f>
        <v>65.06</v>
      </c>
      <c r="J269" s="505"/>
      <c r="K269" s="66" t="str">
        <f>IF(B269=0,0,VLOOKUP(B269,TRANS,4,FALSE))</f>
        <v>T.KM</v>
      </c>
      <c r="L269" s="67">
        <f>(E269*I269)+H269</f>
        <v>21.469800000000003</v>
      </c>
      <c r="M269" s="68">
        <f>M260*1.5</f>
        <v>0.24149999999999999</v>
      </c>
      <c r="N269" s="278">
        <f>(L269*M269)</f>
        <v>5.1849567000000008</v>
      </c>
    </row>
    <row r="270" spans="2:14" ht="20.100000000000001" customHeight="1">
      <c r="B270" s="260" t="s">
        <v>334</v>
      </c>
      <c r="D270" s="261" t="str">
        <f>IF(B270=0,0,VLOOKUP(B270,TRANS,3,FALSE))</f>
        <v>FILLER</v>
      </c>
      <c r="E270" s="504">
        <f>IF(B270=0,0,VLOOKUP(B270,TRANS,5,FALSE))</f>
        <v>0.24</v>
      </c>
      <c r="F270" s="505"/>
      <c r="G270" s="545"/>
      <c r="H270" s="546"/>
      <c r="I270" s="504">
        <f>IF(B270=0,0,VLOOKUP(B270,TRANS,6,FALSE))</f>
        <v>50</v>
      </c>
      <c r="J270" s="505"/>
      <c r="K270" s="262" t="str">
        <f>IF(B270=0,0,VLOOKUP(B270,TRANS,4,FALSE))</f>
        <v>T.KM</v>
      </c>
      <c r="L270" s="67">
        <f>(E270*I270)+H270</f>
        <v>12</v>
      </c>
      <c r="M270" s="70">
        <f>M261/1000</f>
        <v>3.3000000000000002E-2</v>
      </c>
      <c r="N270" s="278">
        <f>L270*M270</f>
        <v>0.39600000000000002</v>
      </c>
    </row>
    <row r="271" spans="2:14" ht="20.100000000000001" customHeight="1">
      <c r="D271" s="98"/>
      <c r="E271" s="99"/>
      <c r="F271" s="44"/>
      <c r="G271" s="65"/>
      <c r="H271" s="44"/>
      <c r="I271" s="48"/>
      <c r="J271" s="46"/>
      <c r="K271" s="46"/>
      <c r="L271" s="48"/>
      <c r="M271" s="71" t="s">
        <v>112</v>
      </c>
      <c r="N271" s="270">
        <f>SUM(N267:N270)</f>
        <v>15.052221700000002</v>
      </c>
    </row>
    <row r="272" spans="2:14" ht="3.95" customHeight="1">
      <c r="D272" s="98"/>
      <c r="E272" s="99"/>
      <c r="F272" s="44"/>
      <c r="G272" s="65"/>
      <c r="H272" s="44"/>
      <c r="I272" s="48"/>
      <c r="J272" s="46"/>
      <c r="K272" s="46"/>
      <c r="L272" s="48"/>
      <c r="M272" s="100"/>
      <c r="N272" s="282"/>
    </row>
    <row r="273" spans="2:14" ht="20.100000000000001" customHeight="1">
      <c r="D273" s="98"/>
      <c r="E273" s="99"/>
      <c r="F273" s="44"/>
      <c r="G273" s="65"/>
      <c r="H273" s="44"/>
      <c r="I273" s="48"/>
      <c r="J273" s="46"/>
      <c r="K273" s="565" t="s">
        <v>129</v>
      </c>
      <c r="L273" s="566"/>
      <c r="M273" s="567"/>
      <c r="N273" s="279">
        <f>+N255+N263+N271</f>
        <v>85.361911699999993</v>
      </c>
    </row>
    <row r="274" spans="2:14" ht="20.100000000000001" customHeight="1">
      <c r="D274" s="98"/>
      <c r="E274" s="99"/>
      <c r="F274" s="44"/>
      <c r="G274" s="65"/>
      <c r="H274" s="44"/>
      <c r="I274" s="48"/>
      <c r="J274" s="46"/>
      <c r="K274" s="81" t="s">
        <v>115</v>
      </c>
      <c r="L274" s="359">
        <f>DI</f>
        <v>0.26700000000000002</v>
      </c>
      <c r="M274" s="83"/>
      <c r="N274" s="279">
        <f>L274*N273</f>
        <v>22.791630423899999</v>
      </c>
    </row>
    <row r="275" spans="2:14" ht="20.100000000000001" customHeight="1" thickBot="1">
      <c r="D275" s="102"/>
      <c r="E275" s="103"/>
      <c r="F275" s="104"/>
      <c r="G275" s="105"/>
      <c r="H275" s="104"/>
      <c r="I275" s="225"/>
      <c r="J275" s="85"/>
      <c r="K275" s="86" t="s">
        <v>130</v>
      </c>
      <c r="L275" s="280"/>
      <c r="M275" s="89"/>
      <c r="N275" s="281">
        <f>N273+N274</f>
        <v>108.1535421239</v>
      </c>
    </row>
    <row r="276" spans="2:14" ht="3.95" customHeight="1">
      <c r="D276" s="106"/>
      <c r="E276" s="107"/>
      <c r="F276" s="108"/>
      <c r="G276" s="109"/>
      <c r="H276" s="108"/>
      <c r="I276" s="226"/>
      <c r="J276" s="110"/>
      <c r="K276" s="111"/>
      <c r="L276" s="284"/>
      <c r="M276" s="111"/>
      <c r="N276" s="285"/>
    </row>
    <row r="277" spans="2:14" ht="3.95" customHeight="1" thickBot="1">
      <c r="D277" s="102"/>
      <c r="E277" s="103"/>
      <c r="F277" s="104"/>
      <c r="G277" s="105"/>
      <c r="H277" s="104"/>
      <c r="I277" s="225"/>
      <c r="J277" s="85"/>
      <c r="K277" s="112"/>
      <c r="L277" s="286"/>
      <c r="M277" s="112"/>
      <c r="N277" s="287"/>
    </row>
    <row r="278" spans="2:14" ht="20.100000000000001" customHeight="1">
      <c r="D278" s="571" t="s">
        <v>131</v>
      </c>
      <c r="E278" s="572"/>
      <c r="F278" s="572"/>
      <c r="G278" s="572"/>
      <c r="H278" s="572"/>
      <c r="I278" s="572"/>
      <c r="J278" s="573"/>
      <c r="K278" s="113" t="s">
        <v>103</v>
      </c>
      <c r="L278" s="34" t="s">
        <v>80</v>
      </c>
      <c r="M278" s="34" t="s">
        <v>104</v>
      </c>
      <c r="N278" s="288" t="s">
        <v>105</v>
      </c>
    </row>
    <row r="279" spans="2:14" ht="20.100000000000001" customHeight="1">
      <c r="B279" s="260" t="s">
        <v>358</v>
      </c>
      <c r="D279" s="264" t="str">
        <f>IF(B279=0,0,VLOOKUP(B279,MAT_BET,3,FALSE))</f>
        <v>AQUISIÇÃO CAP -20 C/ ASFALTO-BORRACHA</v>
      </c>
      <c r="E279" s="265"/>
      <c r="F279" s="265"/>
      <c r="G279" s="265"/>
      <c r="H279" s="265"/>
      <c r="I279" s="265"/>
      <c r="J279" s="266"/>
      <c r="K279" s="262" t="str">
        <f>IF(B279=0,0,VLOOKUP(B279,MAT_BET,4,FALSE))</f>
        <v>T</v>
      </c>
      <c r="L279" s="67">
        <f>IF(B279=0,0,VLOOKUP(B279,MAT_BET,5,FALSE))</f>
        <v>1469</v>
      </c>
      <c r="M279" s="68">
        <v>0.06</v>
      </c>
      <c r="N279" s="273">
        <f>ROUND(L279*M279,2)</f>
        <v>88.14</v>
      </c>
    </row>
    <row r="280" spans="2:14" ht="20.100000000000001" customHeight="1">
      <c r="D280" s="114"/>
      <c r="E280" s="59"/>
      <c r="F280" s="59"/>
      <c r="G280" s="59"/>
      <c r="H280" s="59"/>
      <c r="I280" s="91"/>
      <c r="J280" s="115"/>
      <c r="K280" s="81" t="s">
        <v>115</v>
      </c>
      <c r="L280" s="359">
        <f>DI</f>
        <v>0.26700000000000002</v>
      </c>
      <c r="M280" s="83"/>
      <c r="N280" s="279">
        <f>L280*N279</f>
        <v>23.533380000000001</v>
      </c>
    </row>
    <row r="281" spans="2:14" ht="20.100000000000001" customHeight="1">
      <c r="D281" s="76"/>
      <c r="E281" s="77"/>
      <c r="F281" s="77"/>
      <c r="G281" s="77"/>
      <c r="H281" s="77"/>
      <c r="I281" s="156"/>
      <c r="J281" s="116"/>
      <c r="K281" s="81" t="s">
        <v>132</v>
      </c>
      <c r="L281" s="289"/>
      <c r="M281" s="83"/>
      <c r="N281" s="279">
        <f>N279+N280</f>
        <v>111.67338000000001</v>
      </c>
    </row>
    <row r="282" spans="2:14" ht="20.100000000000001" customHeight="1">
      <c r="D282" s="117"/>
      <c r="E282" s="118"/>
      <c r="F282" s="118"/>
      <c r="G282" s="118"/>
      <c r="H282" s="118"/>
      <c r="I282" s="94"/>
      <c r="J282" s="119"/>
      <c r="K282" s="113" t="s">
        <v>103</v>
      </c>
      <c r="L282" s="34" t="s">
        <v>80</v>
      </c>
      <c r="M282" s="34" t="s">
        <v>104</v>
      </c>
      <c r="N282" s="288" t="s">
        <v>105</v>
      </c>
    </row>
    <row r="283" spans="2:14" ht="20.100000000000001" customHeight="1">
      <c r="B283" s="260" t="s">
        <v>368</v>
      </c>
      <c r="D283" s="264" t="str">
        <f>IF(B283=0,0,VLOOKUP(B283,MAT_BET,3,FALSE))</f>
        <v>TRANSPORTE CAP -20 C/ ASFALTO-BORRACHA</v>
      </c>
      <c r="E283" s="265"/>
      <c r="F283" s="265"/>
      <c r="G283" s="265"/>
      <c r="H283" s="265"/>
      <c r="I283" s="265"/>
      <c r="J283" s="266"/>
      <c r="K283" s="262" t="str">
        <f>IF(B283=0,0,VLOOKUP(B283,MAT_BET,4,FALSE))</f>
        <v>T</v>
      </c>
      <c r="L283" s="67">
        <f>IF(B283=0,0,VLOOKUP(B283,MAT_BET,5,FALSE))</f>
        <v>230.69</v>
      </c>
      <c r="M283" s="68">
        <v>0.06</v>
      </c>
      <c r="N283" s="278">
        <f>(L283*M283)</f>
        <v>13.8414</v>
      </c>
    </row>
    <row r="284" spans="2:14" ht="20.100000000000001" customHeight="1">
      <c r="D284" s="114"/>
      <c r="E284" s="59"/>
      <c r="F284" s="59"/>
      <c r="G284" s="59"/>
      <c r="H284" s="59"/>
      <c r="I284" s="91"/>
      <c r="J284" s="115"/>
      <c r="K284" s="81" t="s">
        <v>115</v>
      </c>
      <c r="L284" s="359">
        <f>DI</f>
        <v>0.26700000000000002</v>
      </c>
      <c r="M284" s="83"/>
      <c r="N284" s="279">
        <f>L284*N283</f>
        <v>3.6956538000000001</v>
      </c>
    </row>
    <row r="285" spans="2:14" ht="20.100000000000001" customHeight="1" thickBot="1">
      <c r="D285" s="76"/>
      <c r="E285" s="77"/>
      <c r="F285" s="77"/>
      <c r="G285" s="77"/>
      <c r="H285" s="77"/>
      <c r="I285" s="156"/>
      <c r="J285" s="116"/>
      <c r="K285" s="97" t="s">
        <v>133</v>
      </c>
      <c r="L285" s="290"/>
      <c r="M285" s="120"/>
      <c r="N285" s="291">
        <f>N283+N284</f>
        <v>17.537053799999999</v>
      </c>
    </row>
    <row r="286" spans="2:14" ht="20.100000000000001" customHeight="1" thickBot="1">
      <c r="D286" s="121"/>
      <c r="E286" s="122"/>
      <c r="F286" s="122"/>
      <c r="G286" s="123"/>
      <c r="H286" s="122"/>
      <c r="I286" s="227"/>
      <c r="J286" s="124"/>
      <c r="K286" s="549" t="s">
        <v>134</v>
      </c>
      <c r="L286" s="549"/>
      <c r="M286" s="550"/>
      <c r="N286" s="292">
        <f>N281+N285</f>
        <v>129.2104338</v>
      </c>
    </row>
    <row r="287" spans="2:14" ht="3.95" customHeight="1" thickBot="1">
      <c r="D287" s="43"/>
      <c r="E287" s="44"/>
      <c r="F287" s="44"/>
      <c r="G287" s="65"/>
      <c r="H287" s="44"/>
      <c r="I287" s="48"/>
      <c r="J287" s="46"/>
      <c r="K287" s="125"/>
      <c r="L287" s="293"/>
      <c r="M287" s="125"/>
      <c r="N287" s="282"/>
    </row>
    <row r="288" spans="2:14" ht="20.100000000000001" customHeight="1">
      <c r="D288" s="126"/>
      <c r="E288" s="108"/>
      <c r="F288" s="108"/>
      <c r="G288" s="109"/>
      <c r="H288" s="108"/>
      <c r="I288" s="228" t="s">
        <v>114</v>
      </c>
      <c r="J288" s="128"/>
      <c r="K288" s="128"/>
      <c r="L288" s="354">
        <v>0.02</v>
      </c>
      <c r="M288" s="129"/>
      <c r="N288" s="294">
        <f>(N273+N279+N283)*L288</f>
        <v>3.7468662339999996</v>
      </c>
    </row>
    <row r="289" spans="2:14" ht="20.100000000000001" customHeight="1">
      <c r="D289" s="43"/>
      <c r="E289" s="44"/>
      <c r="F289" s="44"/>
      <c r="G289" s="65"/>
      <c r="H289" s="44"/>
      <c r="I289" s="563" t="s">
        <v>135</v>
      </c>
      <c r="J289" s="564"/>
      <c r="K289" s="564"/>
      <c r="L289" s="564"/>
      <c r="M289" s="125"/>
      <c r="N289" s="282">
        <f>N273+N279+N283+N288</f>
        <v>191.090177934</v>
      </c>
    </row>
    <row r="290" spans="2:14" ht="20.100000000000001" customHeight="1" thickBot="1">
      <c r="D290" s="130"/>
      <c r="E290" s="104"/>
      <c r="F290" s="104"/>
      <c r="G290" s="105"/>
      <c r="H290" s="104"/>
      <c r="I290" s="537" t="s">
        <v>136</v>
      </c>
      <c r="J290" s="538"/>
      <c r="K290" s="538"/>
      <c r="L290" s="538"/>
      <c r="M290" s="131"/>
      <c r="N290" s="295">
        <f>N289*2.4</f>
        <v>458.61642704159999</v>
      </c>
    </row>
    <row r="291" spans="2:14" ht="3.95" customHeight="1" thickBot="1">
      <c r="D291" s="98"/>
      <c r="E291" s="99"/>
      <c r="F291" s="44"/>
      <c r="G291" s="65"/>
      <c r="H291" s="44"/>
      <c r="I291" s="48"/>
      <c r="J291" s="46"/>
      <c r="K291" s="46"/>
      <c r="L291" s="48"/>
      <c r="M291" s="100"/>
      <c r="N291" s="282"/>
    </row>
    <row r="292" spans="2:14" ht="20.100000000000001" customHeight="1">
      <c r="D292" s="133"/>
      <c r="E292" s="134"/>
      <c r="F292" s="134"/>
      <c r="G292" s="134"/>
      <c r="H292" s="134"/>
      <c r="I292" s="229" t="s">
        <v>137</v>
      </c>
      <c r="J292" s="135"/>
      <c r="K292" s="135"/>
      <c r="L292" s="354">
        <f>DI</f>
        <v>0.26700000000000002</v>
      </c>
      <c r="M292" s="136"/>
      <c r="N292" s="294">
        <f>(N289*L280)+N289</f>
        <v>242.111255442378</v>
      </c>
    </row>
    <row r="293" spans="2:14" ht="20.100000000000001" customHeight="1" thickBot="1">
      <c r="D293" s="137"/>
      <c r="E293" s="138"/>
      <c r="F293" s="138"/>
      <c r="G293" s="138"/>
      <c r="H293" s="138"/>
      <c r="I293" s="230" t="s">
        <v>138</v>
      </c>
      <c r="J293" s="139"/>
      <c r="K293" s="139"/>
      <c r="L293" s="358">
        <f>DI</f>
        <v>0.26700000000000002</v>
      </c>
      <c r="M293" s="140"/>
      <c r="N293" s="295">
        <f>N292</f>
        <v>242.111255442378</v>
      </c>
    </row>
    <row r="296" spans="2:14" ht="20.100000000000001" customHeight="1" thickBot="1"/>
    <row r="297" spans="2:14" ht="20.100000000000001" customHeight="1">
      <c r="B297" s="197" t="s">
        <v>189</v>
      </c>
      <c r="D297" s="520" t="s">
        <v>230</v>
      </c>
      <c r="E297" s="521"/>
      <c r="F297" s="542" t="s">
        <v>74</v>
      </c>
      <c r="G297" s="543"/>
      <c r="H297" s="543"/>
      <c r="I297" s="543"/>
      <c r="J297" s="543"/>
      <c r="K297" s="543"/>
      <c r="L297" s="544"/>
      <c r="M297" s="19" t="s">
        <v>75</v>
      </c>
      <c r="N297" s="20" t="s">
        <v>76</v>
      </c>
    </row>
    <row r="298" spans="2:14" ht="20.100000000000001" customHeight="1">
      <c r="D298" s="522"/>
      <c r="E298" s="523"/>
      <c r="F298" s="512" t="str">
        <f>VLOOKUP(B297,Resumo_Composições,3,FALSE)</f>
        <v>REPERFILAGEM COM CBUQ - MASSA FINA</v>
      </c>
      <c r="G298" s="519"/>
      <c r="H298" s="519"/>
      <c r="I298" s="519"/>
      <c r="J298" s="519"/>
      <c r="K298" s="519"/>
      <c r="L298" s="513"/>
      <c r="M298" s="24" t="str">
        <f>VLOOKUP(B297,Resumo_Composições,4,FALSE)</f>
        <v>M3</v>
      </c>
      <c r="N298" s="25">
        <f>DATA</f>
        <v>41214</v>
      </c>
    </row>
    <row r="299" spans="2:14" ht="20.100000000000001" customHeight="1">
      <c r="D299" s="26" t="s">
        <v>77</v>
      </c>
      <c r="E299" s="27"/>
      <c r="F299" s="27"/>
      <c r="G299" s="27"/>
      <c r="H299" s="28"/>
      <c r="I299" s="214" t="s">
        <v>78</v>
      </c>
      <c r="J299" s="535" t="s">
        <v>79</v>
      </c>
      <c r="K299" s="536"/>
      <c r="L299" s="535" t="s">
        <v>80</v>
      </c>
      <c r="M299" s="536"/>
      <c r="N299" s="516" t="s">
        <v>81</v>
      </c>
    </row>
    <row r="300" spans="2:14" ht="20.100000000000001" customHeight="1">
      <c r="D300" s="31"/>
      <c r="E300" s="32"/>
      <c r="F300" s="32"/>
      <c r="G300" s="32"/>
      <c r="H300" s="33"/>
      <c r="I300" s="34"/>
      <c r="J300" s="51" t="s">
        <v>82</v>
      </c>
      <c r="K300" s="51" t="s">
        <v>83</v>
      </c>
      <c r="L300" s="51" t="s">
        <v>82</v>
      </c>
      <c r="M300" s="51" t="s">
        <v>84</v>
      </c>
      <c r="N300" s="517"/>
    </row>
    <row r="301" spans="2:14" ht="20.100000000000001" customHeight="1">
      <c r="B301" s="260" t="s">
        <v>292</v>
      </c>
      <c r="D301" s="35" t="str">
        <f t="shared" ref="D301:D306" si="19">IF(B301=0,0,VLOOKUP(B301,EQUIP,3,FALSE))</f>
        <v>TRATOR AGRICOLA (77 KW)</v>
      </c>
      <c r="E301" s="91"/>
      <c r="F301" s="91"/>
      <c r="G301" s="91"/>
      <c r="H301" s="92"/>
      <c r="I301" s="215">
        <v>1</v>
      </c>
      <c r="J301" s="38">
        <v>0.15</v>
      </c>
      <c r="K301" s="38">
        <f t="shared" ref="K301:K306" si="20">1-J301</f>
        <v>0.85</v>
      </c>
      <c r="L301" s="215">
        <f t="shared" ref="L301:L306" si="21">IF(B301=0,0,VLOOKUP(B301,EQUIP,6,FALSE))</f>
        <v>65.799899999999994</v>
      </c>
      <c r="M301" s="38">
        <f t="shared" ref="M301:M306" si="22">IF(B301=0,0,VLOOKUP(B301,EQUIP,7,FALSE))</f>
        <v>17.27</v>
      </c>
      <c r="N301" s="269">
        <f t="shared" ref="N301:N306" si="23">ROUND(I301*J301*L301+I301*K301*M301,2)</f>
        <v>24.55</v>
      </c>
    </row>
    <row r="302" spans="2:14" ht="20.100000000000001" customHeight="1">
      <c r="B302" s="260" t="s">
        <v>288</v>
      </c>
      <c r="D302" s="35" t="str">
        <f t="shared" si="19"/>
        <v>ROLO COMPACTADOR TANDEM VIBRAT. AUTOPROPO. 10,9 T (112 KW)</v>
      </c>
      <c r="E302" s="91"/>
      <c r="F302" s="91"/>
      <c r="G302" s="91"/>
      <c r="H302" s="92"/>
      <c r="I302" s="224">
        <v>1</v>
      </c>
      <c r="J302" s="38">
        <v>0.55000000000000004</v>
      </c>
      <c r="K302" s="38">
        <f t="shared" si="20"/>
        <v>0.44999999999999996</v>
      </c>
      <c r="L302" s="215">
        <f t="shared" si="21"/>
        <v>112.07</v>
      </c>
      <c r="M302" s="38">
        <f t="shared" si="22"/>
        <v>17.27</v>
      </c>
      <c r="N302" s="269">
        <f t="shared" si="23"/>
        <v>69.41</v>
      </c>
    </row>
    <row r="303" spans="2:14" ht="20.100000000000001" customHeight="1">
      <c r="B303" s="260" t="s">
        <v>284</v>
      </c>
      <c r="D303" s="35" t="str">
        <f t="shared" si="19"/>
        <v>ROLO COMPACTADOR - DE PNEUS AUTOPROPELIDO 21 t (97kW)</v>
      </c>
      <c r="E303" s="91"/>
      <c r="F303" s="91"/>
      <c r="G303" s="91"/>
      <c r="H303" s="92"/>
      <c r="I303" s="224">
        <v>1</v>
      </c>
      <c r="J303" s="38">
        <v>0.55000000000000004</v>
      </c>
      <c r="K303" s="38">
        <f t="shared" si="20"/>
        <v>0.44999999999999996</v>
      </c>
      <c r="L303" s="215">
        <f t="shared" si="21"/>
        <v>96.39</v>
      </c>
      <c r="M303" s="38">
        <f t="shared" si="22"/>
        <v>17.27</v>
      </c>
      <c r="N303" s="269">
        <f t="shared" si="23"/>
        <v>60.79</v>
      </c>
    </row>
    <row r="304" spans="2:14" ht="20.100000000000001" customHeight="1">
      <c r="B304" s="260" t="s">
        <v>296</v>
      </c>
      <c r="D304" s="35" t="str">
        <f t="shared" si="19"/>
        <v>VASSOURA MECÂNICA REBOCÁVEL</v>
      </c>
      <c r="E304" s="36"/>
      <c r="F304" s="36"/>
      <c r="G304" s="36"/>
      <c r="H304" s="37"/>
      <c r="I304" s="215">
        <v>1</v>
      </c>
      <c r="J304" s="38">
        <v>0.15</v>
      </c>
      <c r="K304" s="38">
        <f t="shared" si="20"/>
        <v>0.85</v>
      </c>
      <c r="L304" s="215">
        <f t="shared" si="21"/>
        <v>3.83</v>
      </c>
      <c r="M304" s="38">
        <f t="shared" si="22"/>
        <v>0</v>
      </c>
      <c r="N304" s="269">
        <f t="shared" si="23"/>
        <v>0.56999999999999995</v>
      </c>
    </row>
    <row r="305" spans="2:14" ht="20.100000000000001" customHeight="1">
      <c r="B305" s="260" t="s">
        <v>297</v>
      </c>
      <c r="D305" s="35" t="str">
        <f t="shared" si="19"/>
        <v>VIBRO ACABADORA ASFALTO B.GREENE</v>
      </c>
      <c r="E305" s="36"/>
      <c r="F305" s="36"/>
      <c r="G305" s="36"/>
      <c r="H305" s="37"/>
      <c r="I305" s="215">
        <v>1</v>
      </c>
      <c r="J305" s="38">
        <v>0.65</v>
      </c>
      <c r="K305" s="38">
        <f t="shared" si="20"/>
        <v>0.35</v>
      </c>
      <c r="L305" s="215">
        <f t="shared" si="21"/>
        <v>357.07</v>
      </c>
      <c r="M305" s="38">
        <f t="shared" si="22"/>
        <v>227.45358999999999</v>
      </c>
      <c r="N305" s="269">
        <f t="shared" si="23"/>
        <v>311.7</v>
      </c>
    </row>
    <row r="306" spans="2:14" ht="20.100000000000001" customHeight="1">
      <c r="B306" s="260" t="s">
        <v>260</v>
      </c>
      <c r="D306" s="35" t="str">
        <f t="shared" si="19"/>
        <v>CAMINHÃO BASCULANTE - 6m³ - 10,5 t (150kW)</v>
      </c>
      <c r="E306" s="36"/>
      <c r="F306" s="36"/>
      <c r="G306" s="36"/>
      <c r="H306" s="37"/>
      <c r="I306" s="224">
        <v>1.7</v>
      </c>
      <c r="J306" s="38">
        <v>0.65</v>
      </c>
      <c r="K306" s="38">
        <f t="shared" si="20"/>
        <v>0.35</v>
      </c>
      <c r="L306" s="215">
        <f t="shared" si="21"/>
        <v>93.9</v>
      </c>
      <c r="M306" s="38">
        <f t="shared" si="22"/>
        <v>20.47</v>
      </c>
      <c r="N306" s="269">
        <f t="shared" si="23"/>
        <v>115.94</v>
      </c>
    </row>
    <row r="307" spans="2:14" ht="20.100000000000001" customHeight="1">
      <c r="B307" s="260"/>
      <c r="D307" s="93"/>
      <c r="E307" s="94"/>
      <c r="F307" s="94"/>
      <c r="G307" s="94"/>
      <c r="H307" s="95"/>
      <c r="I307" s="215"/>
      <c r="J307" s="38"/>
      <c r="K307" s="38"/>
      <c r="L307" s="57"/>
      <c r="M307" s="39"/>
      <c r="N307" s="269"/>
    </row>
    <row r="308" spans="2:14" ht="20.100000000000001" customHeight="1">
      <c r="D308" s="40"/>
      <c r="E308" s="41"/>
      <c r="F308" s="41"/>
      <c r="G308" s="41"/>
      <c r="H308" s="41"/>
      <c r="I308" s="216"/>
      <c r="J308" s="41"/>
      <c r="K308" s="41"/>
      <c r="L308" s="216"/>
      <c r="M308" s="42" t="s">
        <v>89</v>
      </c>
      <c r="N308" s="270">
        <f>SUM(N301:N306)</f>
        <v>582.96</v>
      </c>
    </row>
    <row r="309" spans="2:14" ht="3.95" customHeight="1">
      <c r="D309" s="43"/>
      <c r="E309" s="44"/>
      <c r="F309" s="44"/>
      <c r="G309" s="45"/>
      <c r="H309" s="44"/>
      <c r="I309" s="217"/>
      <c r="J309" s="46"/>
      <c r="K309" s="47"/>
      <c r="L309" s="48"/>
      <c r="M309" s="48"/>
      <c r="N309" s="271"/>
    </row>
    <row r="310" spans="2:14" ht="20.100000000000001" customHeight="1">
      <c r="D310" s="518" t="s">
        <v>90</v>
      </c>
      <c r="E310" s="519"/>
      <c r="F310" s="519"/>
      <c r="G310" s="519"/>
      <c r="H310" s="519"/>
      <c r="I310" s="519"/>
      <c r="J310" s="513"/>
      <c r="K310" s="50" t="s">
        <v>91</v>
      </c>
      <c r="L310" s="51" t="s">
        <v>92</v>
      </c>
      <c r="M310" s="51" t="s">
        <v>93</v>
      </c>
      <c r="N310" s="272" t="s">
        <v>94</v>
      </c>
    </row>
    <row r="311" spans="2:14" ht="20.100000000000001" customHeight="1">
      <c r="B311" s="260" t="s">
        <v>250</v>
      </c>
      <c r="D311" s="52" t="str">
        <f>IF(B311=0,0,VLOOKUP(B311,MO,2,FALSE))</f>
        <v>ENCARREGADO DE PAVIMENTAÇÃO</v>
      </c>
      <c r="E311" s="53"/>
      <c r="F311" s="53"/>
      <c r="G311" s="53"/>
      <c r="H311" s="53"/>
      <c r="I311" s="36"/>
      <c r="J311" s="54"/>
      <c r="K311" s="39"/>
      <c r="L311" s="55">
        <v>1</v>
      </c>
      <c r="M311" s="55">
        <f>IF(B311=0,0,VLOOKUP(B311,MO,6,FALSE))</f>
        <v>44.786799999999999</v>
      </c>
      <c r="N311" s="273">
        <f>ROUND(L311*M311,2)</f>
        <v>44.79</v>
      </c>
    </row>
    <row r="312" spans="2:14" ht="20.100000000000001" customHeight="1">
      <c r="B312" s="260" t="s">
        <v>248</v>
      </c>
      <c r="D312" s="52" t="str">
        <f>IF(B312=0,0,VLOOKUP(B312,MO,2,FALSE))</f>
        <v>SERVENTE</v>
      </c>
      <c r="E312" s="53"/>
      <c r="F312" s="53"/>
      <c r="G312" s="53"/>
      <c r="H312" s="53"/>
      <c r="I312" s="36"/>
      <c r="J312" s="54"/>
      <c r="K312" s="39"/>
      <c r="L312" s="55">
        <v>6</v>
      </c>
      <c r="M312" s="55">
        <f>IF(B312=0,0,VLOOKUP(B312,MO,6,FALSE))</f>
        <v>7.9973000000000001</v>
      </c>
      <c r="N312" s="273">
        <f>ROUND(L312*M312,2)</f>
        <v>47.98</v>
      </c>
    </row>
    <row r="313" spans="2:14" ht="20.100000000000001" customHeight="1">
      <c r="B313" s="260"/>
      <c r="D313" s="52" t="s">
        <v>122</v>
      </c>
      <c r="E313" s="53"/>
      <c r="F313" s="53"/>
      <c r="G313" s="53"/>
      <c r="H313" s="53"/>
      <c r="I313" s="36"/>
      <c r="J313" s="54"/>
      <c r="K313" s="56">
        <v>0</v>
      </c>
      <c r="L313" s="57">
        <f>N311+N312</f>
        <v>92.77</v>
      </c>
      <c r="M313" s="55"/>
      <c r="N313" s="445">
        <f>ROUND(L313*K313,2)</f>
        <v>0</v>
      </c>
    </row>
    <row r="314" spans="2:14" ht="20.100000000000001" customHeight="1">
      <c r="D314" s="58"/>
      <c r="E314" s="59"/>
      <c r="F314" s="60"/>
      <c r="G314" s="60"/>
      <c r="H314" s="44"/>
      <c r="I314" s="217"/>
      <c r="J314" s="61"/>
      <c r="K314" s="47"/>
      <c r="L314" s="48"/>
      <c r="M314" s="62" t="s">
        <v>98</v>
      </c>
      <c r="N314" s="270">
        <f>SUM(N311:N313)</f>
        <v>92.77</v>
      </c>
    </row>
    <row r="315" spans="2:14" ht="3.95" customHeight="1">
      <c r="D315" s="43"/>
      <c r="E315" s="44"/>
      <c r="F315" s="44"/>
      <c r="G315" s="44"/>
      <c r="H315" s="44"/>
      <c r="I315" s="217"/>
      <c r="J315" s="61"/>
      <c r="K315" s="47"/>
      <c r="L315" s="48"/>
      <c r="M315" s="48"/>
      <c r="N315" s="271"/>
    </row>
    <row r="316" spans="2:14" ht="20.100000000000001" customHeight="1">
      <c r="D316" s="40"/>
      <c r="E316" s="60"/>
      <c r="F316" s="60"/>
      <c r="G316" s="60"/>
      <c r="H316" s="63"/>
      <c r="I316" s="218"/>
      <c r="J316" s="63"/>
      <c r="K316" s="509" t="s">
        <v>99</v>
      </c>
      <c r="L316" s="510"/>
      <c r="M316" s="511"/>
      <c r="N316" s="275">
        <f>+N308+N314</f>
        <v>675.73</v>
      </c>
    </row>
    <row r="317" spans="2:14" ht="3.95" customHeight="1">
      <c r="D317" s="64"/>
      <c r="E317" s="44"/>
      <c r="F317" s="44"/>
      <c r="G317" s="45"/>
      <c r="H317" s="44"/>
      <c r="I317" s="217"/>
      <c r="J317" s="46"/>
      <c r="K317" s="47"/>
      <c r="L317" s="48"/>
      <c r="M317" s="48"/>
      <c r="N317" s="271"/>
    </row>
    <row r="318" spans="2:14" ht="20.100000000000001" customHeight="1">
      <c r="D318" s="58"/>
      <c r="E318" s="509" t="s">
        <v>100</v>
      </c>
      <c r="F318" s="510"/>
      <c r="G318" s="510"/>
      <c r="H318" s="511"/>
      <c r="I318" s="219">
        <v>75</v>
      </c>
      <c r="J318" s="48"/>
      <c r="K318" s="506" t="s">
        <v>101</v>
      </c>
      <c r="L318" s="507"/>
      <c r="M318" s="507"/>
      <c r="N318" s="276">
        <f>ROUND(N316/I318,2)</f>
        <v>9.01</v>
      </c>
    </row>
    <row r="319" spans="2:14" ht="3.95" customHeight="1">
      <c r="D319" s="43"/>
      <c r="E319" s="44"/>
      <c r="F319" s="44"/>
      <c r="G319" s="65"/>
      <c r="H319" s="44"/>
      <c r="I319" s="48"/>
      <c r="J319" s="46"/>
      <c r="K319" s="46"/>
      <c r="L319" s="48"/>
      <c r="M319" s="46"/>
      <c r="N319" s="277"/>
    </row>
    <row r="320" spans="2:14" ht="20.100000000000001" customHeight="1">
      <c r="D320" s="49" t="s">
        <v>102</v>
      </c>
      <c r="E320" s="22"/>
      <c r="F320" s="22"/>
      <c r="G320" s="22"/>
      <c r="H320" s="22"/>
      <c r="I320" s="141"/>
      <c r="J320" s="23"/>
      <c r="K320" s="50" t="s">
        <v>103</v>
      </c>
      <c r="L320" s="51" t="s">
        <v>80</v>
      </c>
      <c r="M320" s="51" t="s">
        <v>104</v>
      </c>
      <c r="N320" s="272" t="s">
        <v>105</v>
      </c>
    </row>
    <row r="321" spans="2:14" ht="20.100000000000001" customHeight="1">
      <c r="B321" s="260" t="s">
        <v>306</v>
      </c>
      <c r="D321" s="52" t="str">
        <f>IF(B321=0,0,VLOOKUP(B321,MAT,3,FALSE))</f>
        <v>CBUQ - USINAGEM</v>
      </c>
      <c r="E321" s="53"/>
      <c r="F321" s="53"/>
      <c r="G321" s="53"/>
      <c r="H321" s="53"/>
      <c r="I321" s="36"/>
      <c r="J321" s="54"/>
      <c r="K321" s="66" t="str">
        <f>IF(B321=0,0,VLOOKUP(B321,MAT,5,FALSE))</f>
        <v>T</v>
      </c>
      <c r="L321" s="67">
        <f>IF(B321=0,0,VLOOKUP(B321,MAT,6,FALSE))</f>
        <v>40.11</v>
      </c>
      <c r="M321" s="68">
        <v>1</v>
      </c>
      <c r="N321" s="273">
        <f>ROUND(L321*M321,2)</f>
        <v>40.11</v>
      </c>
    </row>
    <row r="322" spans="2:14" ht="20.100000000000001" customHeight="1">
      <c r="B322" s="260" t="s">
        <v>305</v>
      </c>
      <c r="D322" s="52" t="str">
        <f>IF(B322=0,0,VLOOKUP(B322,MAT,3,FALSE))</f>
        <v>BRITA COMERCIAL</v>
      </c>
      <c r="E322" s="53"/>
      <c r="F322" s="53"/>
      <c r="G322" s="53"/>
      <c r="H322" s="53"/>
      <c r="I322" s="36"/>
      <c r="J322" s="54"/>
      <c r="K322" s="66" t="str">
        <f>IF(B322=0,0,VLOOKUP(B322,MAT,5,FALSE))</f>
        <v>M3</v>
      </c>
      <c r="L322" s="67">
        <f>IF(B322=0,0,VLOOKUP(B322,MAT,6,FALSE))</f>
        <v>30.630000000000003</v>
      </c>
      <c r="M322" s="68">
        <v>0.29599999999999999</v>
      </c>
      <c r="N322" s="273">
        <f>ROUND(L322*M322,2)</f>
        <v>9.07</v>
      </c>
    </row>
    <row r="323" spans="2:14" ht="20.100000000000001" customHeight="1">
      <c r="B323" s="260" t="s">
        <v>303</v>
      </c>
      <c r="D323" s="52" t="str">
        <f>IF(B323=0,0,VLOOKUP(B323,MAT,3,FALSE))</f>
        <v xml:space="preserve">AREIA </v>
      </c>
      <c r="E323" s="53"/>
      <c r="F323" s="53"/>
      <c r="G323" s="53"/>
      <c r="H323" s="53"/>
      <c r="I323" s="36"/>
      <c r="J323" s="54"/>
      <c r="K323" s="66" t="str">
        <f>IF(B323=0,0,VLOOKUP(B323,MAT,5,FALSE))</f>
        <v>M3</v>
      </c>
      <c r="L323" s="67">
        <f>IF(B323=0,0,VLOOKUP(B323,MAT,6,FALSE))</f>
        <v>23.28</v>
      </c>
      <c r="M323" s="68">
        <v>0.298666667</v>
      </c>
      <c r="N323" s="273">
        <f>ROUND(L323*M323,2)</f>
        <v>6.95</v>
      </c>
    </row>
    <row r="324" spans="2:14" ht="20.100000000000001" customHeight="1">
      <c r="B324" s="260" t="s">
        <v>310</v>
      </c>
      <c r="D324" s="52" t="str">
        <f>IF(B324=0,0,VLOOKUP(B324,MAT,3,FALSE))</f>
        <v>FILLER</v>
      </c>
      <c r="E324" s="53"/>
      <c r="F324" s="53"/>
      <c r="G324" s="53"/>
      <c r="H324" s="53"/>
      <c r="I324" s="36"/>
      <c r="J324" s="54"/>
      <c r="K324" s="66" t="str">
        <f>IF(B324=0,0,VLOOKUP(B324,MAT,5,FALSE))</f>
        <v>KG</v>
      </c>
      <c r="L324" s="67">
        <f>IF(B324=0,0,VLOOKUP(B324,MAT,6,FALSE))</f>
        <v>0.05</v>
      </c>
      <c r="M324" s="68">
        <v>43</v>
      </c>
      <c r="N324" s="273">
        <f>ROUND(L324*M324,2)</f>
        <v>2.15</v>
      </c>
    </row>
    <row r="325" spans="2:14" ht="20.100000000000001" customHeight="1">
      <c r="B325" s="260"/>
      <c r="D325" s="52"/>
      <c r="E325" s="53"/>
      <c r="F325" s="53"/>
      <c r="G325" s="53"/>
      <c r="H325" s="53"/>
      <c r="I325" s="36"/>
      <c r="J325" s="54"/>
      <c r="K325" s="66"/>
      <c r="L325" s="67"/>
      <c r="M325" s="75"/>
      <c r="N325" s="273"/>
    </row>
    <row r="326" spans="2:14" ht="20.100000000000001" customHeight="1">
      <c r="D326" s="43"/>
      <c r="E326" s="44"/>
      <c r="F326" s="44"/>
      <c r="G326" s="65"/>
      <c r="H326" s="44"/>
      <c r="I326" s="48"/>
      <c r="J326" s="46"/>
      <c r="K326" s="46"/>
      <c r="L326" s="48"/>
      <c r="M326" s="71" t="s">
        <v>106</v>
      </c>
      <c r="N326" s="270">
        <f>SUM(N321:N324)</f>
        <v>58.28</v>
      </c>
    </row>
    <row r="327" spans="2:14" ht="3.95" customHeight="1">
      <c r="D327" s="43"/>
      <c r="E327" s="44"/>
      <c r="F327" s="44"/>
      <c r="G327" s="65"/>
      <c r="H327" s="44"/>
      <c r="I327" s="48"/>
      <c r="J327" s="46"/>
      <c r="K327" s="46"/>
      <c r="L327" s="48"/>
      <c r="M327" s="46"/>
      <c r="N327" s="277"/>
    </row>
    <row r="328" spans="2:14" ht="20.100000000000001" customHeight="1">
      <c r="D328" s="527" t="s">
        <v>107</v>
      </c>
      <c r="E328" s="72" t="s">
        <v>2</v>
      </c>
      <c r="F328" s="73"/>
      <c r="G328" s="73"/>
      <c r="H328" s="74"/>
      <c r="I328" s="498" t="s">
        <v>108</v>
      </c>
      <c r="J328" s="499"/>
      <c r="K328" s="531" t="s">
        <v>103</v>
      </c>
      <c r="L328" s="514" t="s">
        <v>80</v>
      </c>
      <c r="M328" s="531" t="s">
        <v>109</v>
      </c>
      <c r="N328" s="529" t="s">
        <v>105</v>
      </c>
    </row>
    <row r="329" spans="2:14" ht="20.100000000000001" customHeight="1">
      <c r="D329" s="528"/>
      <c r="E329" s="512" t="s">
        <v>127</v>
      </c>
      <c r="F329" s="513"/>
      <c r="G329" s="512" t="s">
        <v>111</v>
      </c>
      <c r="H329" s="513"/>
      <c r="I329" s="500"/>
      <c r="J329" s="501"/>
      <c r="K329" s="532"/>
      <c r="L329" s="515"/>
      <c r="M329" s="532"/>
      <c r="N329" s="530"/>
    </row>
    <row r="330" spans="2:14" ht="20.100000000000001" customHeight="1">
      <c r="B330" s="260" t="s">
        <v>331</v>
      </c>
      <c r="D330" s="261" t="str">
        <f>IF(B330=0,0,VLOOKUP(B330,TRANS,3,FALSE))</f>
        <v xml:space="preserve">CBUQ </v>
      </c>
      <c r="E330" s="504">
        <f>IF(B330=0,0,VLOOKUP(B330,TRANS,5,FALSE))</f>
        <v>0.37</v>
      </c>
      <c r="F330" s="505"/>
      <c r="G330" s="553"/>
      <c r="H330" s="554"/>
      <c r="I330" s="504">
        <f>IF(B330=0,0,VLOOKUP(B330,TRANS,6,FALSE))</f>
        <v>25</v>
      </c>
      <c r="J330" s="505"/>
      <c r="K330" s="66" t="str">
        <f>IF(B330=0,0,VLOOKUP(B330,TRANS,4,FALSE))</f>
        <v>T.KM</v>
      </c>
      <c r="L330" s="67">
        <f>E330*I330</f>
        <v>9.25</v>
      </c>
      <c r="M330" s="68">
        <f>M321</f>
        <v>1</v>
      </c>
      <c r="N330" s="273">
        <f>ROUND(L330*M330,2)</f>
        <v>9.25</v>
      </c>
    </row>
    <row r="331" spans="2:14" ht="20.100000000000001" customHeight="1">
      <c r="B331" s="260" t="s">
        <v>327</v>
      </c>
      <c r="D331" s="261" t="str">
        <f>IF(B331=0,0,VLOOKUP(B331,TRANS,3,FALSE))</f>
        <v xml:space="preserve">BRITA </v>
      </c>
      <c r="E331" s="504">
        <f>IF(B331=0,0,VLOOKUP(B331,TRANS,5,FALSE))</f>
        <v>0.33</v>
      </c>
      <c r="F331" s="505"/>
      <c r="G331" s="502"/>
      <c r="H331" s="503"/>
      <c r="I331" s="504">
        <f>IF(B331=0,0,VLOOKUP(B331,TRANS,6,FALSE))</f>
        <v>45.53</v>
      </c>
      <c r="J331" s="505"/>
      <c r="K331" s="66" t="str">
        <f>IF(B331=0,0,VLOOKUP(B331,TRANS,4,FALSE))</f>
        <v>T.KM</v>
      </c>
      <c r="L331" s="67">
        <f>(E331*I331)+H331</f>
        <v>15.024900000000001</v>
      </c>
      <c r="M331" s="68">
        <f>M322*1.5</f>
        <v>0.44399999999999995</v>
      </c>
      <c r="N331" s="278">
        <f>(L331*M331)</f>
        <v>6.6710555999999999</v>
      </c>
    </row>
    <row r="332" spans="2:14" ht="20.100000000000001" customHeight="1">
      <c r="B332" s="260" t="s">
        <v>325</v>
      </c>
      <c r="D332" s="261" t="str">
        <f>IF(B332=0,0,VLOOKUP(B332,TRANS,3,FALSE))</f>
        <v xml:space="preserve">AREIA </v>
      </c>
      <c r="E332" s="504">
        <f>IF(B332=0,0,VLOOKUP(B332,TRANS,5,FALSE))</f>
        <v>0.33</v>
      </c>
      <c r="F332" s="505"/>
      <c r="G332" s="545"/>
      <c r="H332" s="546"/>
      <c r="I332" s="504">
        <f>IF(B332=0,0,VLOOKUP(B332,TRANS,6,FALSE))</f>
        <v>65.06</v>
      </c>
      <c r="J332" s="505"/>
      <c r="K332" s="66" t="str">
        <f>IF(B332=0,0,VLOOKUP(B332,TRANS,4,FALSE))</f>
        <v>T.KM</v>
      </c>
      <c r="L332" s="67">
        <f>(E332*I332)+H332</f>
        <v>21.469800000000003</v>
      </c>
      <c r="M332" s="68">
        <f>M323*1.5</f>
        <v>0.4480000005</v>
      </c>
      <c r="N332" s="278">
        <f>(L332*M332)</f>
        <v>9.6184704107349006</v>
      </c>
    </row>
    <row r="333" spans="2:14" ht="20.100000000000001" customHeight="1">
      <c r="B333" s="260" t="s">
        <v>334</v>
      </c>
      <c r="D333" s="261" t="str">
        <f>IF(B333=0,0,VLOOKUP(B333,TRANS,3,FALSE))</f>
        <v>FILLER</v>
      </c>
      <c r="E333" s="504">
        <f>IF(B333=0,0,VLOOKUP(B333,TRANS,5,FALSE))</f>
        <v>0.24</v>
      </c>
      <c r="F333" s="505"/>
      <c r="G333" s="545"/>
      <c r="H333" s="546"/>
      <c r="I333" s="504">
        <f>IF(B333=0,0,VLOOKUP(B333,TRANS,6,FALSE))</f>
        <v>50</v>
      </c>
      <c r="J333" s="505"/>
      <c r="K333" s="262" t="str">
        <f>IF(B333=0,0,VLOOKUP(B333,TRANS,4,FALSE))</f>
        <v>T.KM</v>
      </c>
      <c r="L333" s="67">
        <f>(E333*I333)+H333</f>
        <v>12</v>
      </c>
      <c r="M333" s="70">
        <f>M324/1000</f>
        <v>4.2999999999999997E-2</v>
      </c>
      <c r="N333" s="278">
        <f>L333*M333</f>
        <v>0.51600000000000001</v>
      </c>
    </row>
    <row r="334" spans="2:14" ht="20.100000000000001" customHeight="1">
      <c r="D334" s="98"/>
      <c r="E334" s="99"/>
      <c r="F334" s="44"/>
      <c r="G334" s="65"/>
      <c r="H334" s="44"/>
      <c r="I334" s="48"/>
      <c r="J334" s="46"/>
      <c r="K334" s="46"/>
      <c r="L334" s="48"/>
      <c r="M334" s="71" t="s">
        <v>112</v>
      </c>
      <c r="N334" s="270">
        <f>SUM(N330:N333)</f>
        <v>26.055526010734901</v>
      </c>
    </row>
    <row r="335" spans="2:14" ht="20.100000000000001" customHeight="1">
      <c r="D335" s="98"/>
      <c r="E335" s="99"/>
      <c r="F335" s="44"/>
      <c r="G335" s="65"/>
      <c r="H335" s="44"/>
      <c r="I335" s="48"/>
      <c r="J335" s="46"/>
      <c r="K335" s="46"/>
      <c r="L335" s="48"/>
      <c r="M335" s="100"/>
      <c r="N335" s="282"/>
    </row>
    <row r="336" spans="2:14" ht="20.100000000000001" customHeight="1">
      <c r="D336" s="98"/>
      <c r="E336" s="99"/>
      <c r="F336" s="44"/>
      <c r="G336" s="65"/>
      <c r="H336" s="44"/>
      <c r="I336" s="48"/>
      <c r="J336" s="46"/>
      <c r="K336" s="565" t="s">
        <v>129</v>
      </c>
      <c r="L336" s="566"/>
      <c r="M336" s="567"/>
      <c r="N336" s="279">
        <f>+N318+N326+N334</f>
        <v>93.345526010734915</v>
      </c>
    </row>
    <row r="337" spans="2:14" ht="20.100000000000001" customHeight="1">
      <c r="D337" s="98"/>
      <c r="E337" s="99"/>
      <c r="F337" s="44"/>
      <c r="G337" s="65"/>
      <c r="H337" s="44"/>
      <c r="I337" s="48"/>
      <c r="J337" s="46"/>
      <c r="K337" s="81" t="s">
        <v>115</v>
      </c>
      <c r="L337" s="359">
        <f>DI</f>
        <v>0.26700000000000002</v>
      </c>
      <c r="M337" s="83"/>
      <c r="N337" s="279">
        <f>L337*N336</f>
        <v>24.923255444866225</v>
      </c>
    </row>
    <row r="338" spans="2:14" ht="20.100000000000001" customHeight="1" thickBot="1">
      <c r="D338" s="102"/>
      <c r="E338" s="103"/>
      <c r="F338" s="104"/>
      <c r="G338" s="105"/>
      <c r="H338" s="104"/>
      <c r="I338" s="225"/>
      <c r="J338" s="85"/>
      <c r="K338" s="86" t="s">
        <v>130</v>
      </c>
      <c r="L338" s="280"/>
      <c r="M338" s="89"/>
      <c r="N338" s="281">
        <f>N336+N337</f>
        <v>118.26878145560114</v>
      </c>
    </row>
    <row r="339" spans="2:14" ht="3.95" customHeight="1">
      <c r="D339" s="106"/>
      <c r="E339" s="107"/>
      <c r="F339" s="108"/>
      <c r="G339" s="109"/>
      <c r="H339" s="108"/>
      <c r="I339" s="226"/>
      <c r="J339" s="110"/>
      <c r="K339" s="111"/>
      <c r="L339" s="284"/>
      <c r="M339" s="111"/>
      <c r="N339" s="285"/>
    </row>
    <row r="340" spans="2:14" ht="3.95" customHeight="1" thickBot="1">
      <c r="D340" s="102"/>
      <c r="E340" s="103"/>
      <c r="F340" s="104"/>
      <c r="G340" s="105"/>
      <c r="H340" s="104"/>
      <c r="I340" s="225"/>
      <c r="J340" s="85"/>
      <c r="K340" s="112"/>
      <c r="L340" s="286"/>
      <c r="M340" s="112"/>
      <c r="N340" s="287"/>
    </row>
    <row r="341" spans="2:14" ht="20.100000000000001" customHeight="1">
      <c r="D341" s="571" t="s">
        <v>131</v>
      </c>
      <c r="E341" s="572"/>
      <c r="F341" s="572"/>
      <c r="G341" s="572"/>
      <c r="H341" s="572"/>
      <c r="I341" s="572"/>
      <c r="J341" s="573"/>
      <c r="K341" s="113" t="s">
        <v>103</v>
      </c>
      <c r="L341" s="34" t="s">
        <v>80</v>
      </c>
      <c r="M341" s="34" t="s">
        <v>104</v>
      </c>
      <c r="N341" s="288" t="s">
        <v>105</v>
      </c>
    </row>
    <row r="342" spans="2:14" ht="20.100000000000001" customHeight="1">
      <c r="B342" s="260" t="s">
        <v>357</v>
      </c>
      <c r="D342" s="264" t="str">
        <f>IF(B342=0,0,VLOOKUP(B342,MAT_BET,3,FALSE))</f>
        <v>AQUISIÇÃO CAP -20</v>
      </c>
      <c r="E342" s="265"/>
      <c r="F342" s="265"/>
      <c r="G342" s="265"/>
      <c r="H342" s="265"/>
      <c r="I342" s="265"/>
      <c r="J342" s="266"/>
      <c r="K342" s="262" t="str">
        <f>IF(B342=0,0,VLOOKUP(B342,MAT_BET,4,FALSE))</f>
        <v>T</v>
      </c>
      <c r="L342" s="67">
        <f>IF(B342=0,0,VLOOKUP(B342,MAT_BET,5,FALSE))</f>
        <v>1132</v>
      </c>
      <c r="M342" s="68">
        <v>6.5000000000000002E-2</v>
      </c>
      <c r="N342" s="273">
        <f>ROUND(L342*M342,2)</f>
        <v>73.58</v>
      </c>
    </row>
    <row r="343" spans="2:14" ht="20.100000000000001" customHeight="1">
      <c r="D343" s="114"/>
      <c r="E343" s="59"/>
      <c r="F343" s="59"/>
      <c r="G343" s="59"/>
      <c r="H343" s="59"/>
      <c r="I343" s="91"/>
      <c r="J343" s="115"/>
      <c r="K343" s="81" t="s">
        <v>115</v>
      </c>
      <c r="L343" s="359">
        <f>DI</f>
        <v>0.26700000000000002</v>
      </c>
      <c r="M343" s="83"/>
      <c r="N343" s="279">
        <f>L343*N342</f>
        <v>19.645859999999999</v>
      </c>
    </row>
    <row r="344" spans="2:14" ht="20.100000000000001" customHeight="1">
      <c r="D344" s="76"/>
      <c r="E344" s="77"/>
      <c r="F344" s="77"/>
      <c r="G344" s="77"/>
      <c r="H344" s="77"/>
      <c r="I344" s="156"/>
      <c r="J344" s="116"/>
      <c r="K344" s="81" t="s">
        <v>132</v>
      </c>
      <c r="L344" s="289"/>
      <c r="M344" s="83"/>
      <c r="N344" s="279">
        <f>N342+N343</f>
        <v>93.225859999999997</v>
      </c>
    </row>
    <row r="345" spans="2:14" ht="20.100000000000001" customHeight="1">
      <c r="D345" s="117"/>
      <c r="E345" s="118"/>
      <c r="F345" s="118"/>
      <c r="G345" s="118"/>
      <c r="H345" s="118"/>
      <c r="I345" s="94"/>
      <c r="J345" s="119"/>
      <c r="K345" s="113" t="s">
        <v>103</v>
      </c>
      <c r="L345" s="34" t="s">
        <v>80</v>
      </c>
      <c r="M345" s="34" t="s">
        <v>104</v>
      </c>
      <c r="N345" s="288" t="s">
        <v>105</v>
      </c>
    </row>
    <row r="346" spans="2:14" ht="20.100000000000001" customHeight="1">
      <c r="B346" s="260" t="s">
        <v>363</v>
      </c>
      <c r="D346" s="264" t="str">
        <f>IF(B346=0,0,VLOOKUP(B346,MAT_BET,3,FALSE))</f>
        <v>TRANSPORTE CAP - 20</v>
      </c>
      <c r="E346" s="265"/>
      <c r="F346" s="265"/>
      <c r="G346" s="265"/>
      <c r="H346" s="265"/>
      <c r="I346" s="265"/>
      <c r="J346" s="266"/>
      <c r="K346" s="262" t="str">
        <f>IF(B346=0,0,VLOOKUP(B346,MAT_BET,4,FALSE))</f>
        <v>T</v>
      </c>
      <c r="L346" s="67">
        <f>IF(B346=0,0,VLOOKUP(B346,MAT_BET,5,FALSE))</f>
        <v>230.69</v>
      </c>
      <c r="M346" s="68">
        <v>6.5000000000000002E-2</v>
      </c>
      <c r="N346" s="278">
        <f>(L346*M346)</f>
        <v>14.99485</v>
      </c>
    </row>
    <row r="347" spans="2:14" ht="20.100000000000001" customHeight="1">
      <c r="D347" s="114"/>
      <c r="E347" s="59"/>
      <c r="F347" s="59"/>
      <c r="G347" s="59"/>
      <c r="H347" s="59"/>
      <c r="I347" s="91"/>
      <c r="J347" s="115"/>
      <c r="K347" s="81" t="s">
        <v>115</v>
      </c>
      <c r="L347" s="359">
        <f>DI</f>
        <v>0.26700000000000002</v>
      </c>
      <c r="M347" s="83"/>
      <c r="N347" s="279">
        <f>L347*N346</f>
        <v>4.0036249499999998</v>
      </c>
    </row>
    <row r="348" spans="2:14" ht="20.100000000000001" customHeight="1" thickBot="1">
      <c r="D348" s="76"/>
      <c r="E348" s="77"/>
      <c r="F348" s="77"/>
      <c r="G348" s="77"/>
      <c r="H348" s="77"/>
      <c r="I348" s="156"/>
      <c r="J348" s="116"/>
      <c r="K348" s="97" t="s">
        <v>133</v>
      </c>
      <c r="L348" s="290"/>
      <c r="M348" s="120"/>
      <c r="N348" s="291">
        <f>N346+N347</f>
        <v>18.998474949999999</v>
      </c>
    </row>
    <row r="349" spans="2:14" ht="20.100000000000001" customHeight="1" thickBot="1">
      <c r="D349" s="121"/>
      <c r="E349" s="122"/>
      <c r="F349" s="122"/>
      <c r="G349" s="123"/>
      <c r="H349" s="122"/>
      <c r="I349" s="227"/>
      <c r="J349" s="124"/>
      <c r="K349" s="549" t="s">
        <v>134</v>
      </c>
      <c r="L349" s="549"/>
      <c r="M349" s="550"/>
      <c r="N349" s="292">
        <f>N344+N348</f>
        <v>112.22433495</v>
      </c>
    </row>
    <row r="350" spans="2:14" ht="3.95" customHeight="1" thickBot="1">
      <c r="D350" s="43"/>
      <c r="E350" s="44"/>
      <c r="F350" s="44"/>
      <c r="G350" s="65"/>
      <c r="H350" s="44"/>
      <c r="I350" s="48"/>
      <c r="J350" s="46"/>
      <c r="K350" s="125"/>
      <c r="L350" s="293"/>
      <c r="M350" s="125"/>
      <c r="N350" s="282"/>
    </row>
    <row r="351" spans="2:14" ht="20.100000000000001" customHeight="1">
      <c r="D351" s="126"/>
      <c r="E351" s="108"/>
      <c r="F351" s="108"/>
      <c r="G351" s="109"/>
      <c r="H351" s="108"/>
      <c r="I351" s="228" t="s">
        <v>114</v>
      </c>
      <c r="J351" s="128"/>
      <c r="K351" s="128"/>
      <c r="L351" s="354">
        <v>0.02</v>
      </c>
      <c r="M351" s="129"/>
      <c r="N351" s="294">
        <f>(N336+N342+N346)*L351</f>
        <v>3.6384075202146984</v>
      </c>
    </row>
    <row r="352" spans="2:14" ht="20.100000000000001" customHeight="1">
      <c r="D352" s="43"/>
      <c r="E352" s="44"/>
      <c r="F352" s="44"/>
      <c r="G352" s="65"/>
      <c r="H352" s="44"/>
      <c r="I352" s="563" t="s">
        <v>151</v>
      </c>
      <c r="J352" s="564"/>
      <c r="K352" s="564"/>
      <c r="L352" s="564"/>
      <c r="M352" s="125"/>
      <c r="N352" s="282">
        <f>N336+N342+N346+N351</f>
        <v>185.5587835309496</v>
      </c>
    </row>
    <row r="353" spans="2:15" ht="20.100000000000001" customHeight="1" thickBot="1">
      <c r="D353" s="130"/>
      <c r="E353" s="104"/>
      <c r="F353" s="104"/>
      <c r="G353" s="105"/>
      <c r="H353" s="104"/>
      <c r="I353" s="537" t="s">
        <v>152</v>
      </c>
      <c r="J353" s="538"/>
      <c r="K353" s="538"/>
      <c r="L353" s="538"/>
      <c r="M353" s="131"/>
      <c r="N353" s="295">
        <f>N352*2.4</f>
        <v>445.34108047427901</v>
      </c>
    </row>
    <row r="354" spans="2:15" ht="3.95" customHeight="1" thickBot="1">
      <c r="D354" s="98"/>
      <c r="E354" s="99"/>
      <c r="F354" s="44"/>
      <c r="G354" s="65"/>
      <c r="H354" s="44"/>
      <c r="I354" s="48"/>
      <c r="J354" s="46"/>
      <c r="K354" s="46"/>
      <c r="L354" s="48"/>
      <c r="M354" s="100"/>
      <c r="N354" s="282"/>
    </row>
    <row r="355" spans="2:15" ht="20.100000000000001" customHeight="1">
      <c r="D355" s="133"/>
      <c r="E355" s="134"/>
      <c r="F355" s="134"/>
      <c r="G355" s="134"/>
      <c r="H355" s="134"/>
      <c r="I355" s="231" t="s">
        <v>153</v>
      </c>
      <c r="J355" s="148"/>
      <c r="K355" s="148"/>
      <c r="L355" s="354">
        <f>DI</f>
        <v>0.26700000000000002</v>
      </c>
      <c r="M355" s="136"/>
      <c r="N355" s="294">
        <f>(N352*L343)+N352</f>
        <v>235.10297873371314</v>
      </c>
    </row>
    <row r="356" spans="2:15" ht="19.5" customHeight="1" thickBot="1">
      <c r="D356" s="137"/>
      <c r="E356" s="138"/>
      <c r="F356" s="138"/>
      <c r="G356" s="138"/>
      <c r="H356" s="138"/>
      <c r="I356" s="232" t="s">
        <v>154</v>
      </c>
      <c r="J356" s="149"/>
      <c r="K356" s="149"/>
      <c r="L356" s="358">
        <f>DI</f>
        <v>0.26700000000000002</v>
      </c>
      <c r="M356" s="140"/>
      <c r="N356" s="295">
        <f>N355*2.4</f>
        <v>564.24714896091155</v>
      </c>
    </row>
    <row r="359" spans="2:15" ht="20.100000000000001" customHeight="1" thickBot="1"/>
    <row r="360" spans="2:15" s="192" customFormat="1" ht="20.100000000000001" customHeight="1">
      <c r="B360" s="198" t="s">
        <v>190</v>
      </c>
      <c r="C360" s="198"/>
      <c r="D360" s="520" t="s">
        <v>231</v>
      </c>
      <c r="E360" s="521"/>
      <c r="F360" s="542" t="s">
        <v>74</v>
      </c>
      <c r="G360" s="543"/>
      <c r="H360" s="543"/>
      <c r="I360" s="543"/>
      <c r="J360" s="543"/>
      <c r="K360" s="543"/>
      <c r="L360" s="544"/>
      <c r="M360" s="19" t="s">
        <v>75</v>
      </c>
      <c r="N360" s="20" t="s">
        <v>76</v>
      </c>
      <c r="O360" s="390"/>
    </row>
    <row r="361" spans="2:15" s="192" customFormat="1" ht="20.100000000000001" customHeight="1">
      <c r="B361" s="198"/>
      <c r="C361" s="198"/>
      <c r="D361" s="522"/>
      <c r="E361" s="523"/>
      <c r="F361" s="512" t="str">
        <f>VLOOKUP(B360,Resumo_Composições,3,FALSE)</f>
        <v>CONCRETO BETUMINOSO USINADO A QUENTE - BINDER (construção)</v>
      </c>
      <c r="G361" s="519"/>
      <c r="H361" s="519"/>
      <c r="I361" s="519"/>
      <c r="J361" s="519"/>
      <c r="K361" s="519"/>
      <c r="L361" s="513"/>
      <c r="M361" s="24" t="str">
        <f>VLOOKUP(B360,Resumo_Composições,4,FALSE)</f>
        <v>M3</v>
      </c>
      <c r="N361" s="25">
        <f>DATA</f>
        <v>41214</v>
      </c>
      <c r="O361" s="390"/>
    </row>
    <row r="362" spans="2:15" s="192" customFormat="1" ht="20.100000000000001" customHeight="1">
      <c r="B362" s="198"/>
      <c r="C362" s="198"/>
      <c r="D362" s="561" t="s">
        <v>77</v>
      </c>
      <c r="E362" s="562"/>
      <c r="F362" s="562"/>
      <c r="G362" s="562"/>
      <c r="H362" s="536"/>
      <c r="I362" s="51" t="s">
        <v>78</v>
      </c>
      <c r="J362" s="535" t="s">
        <v>79</v>
      </c>
      <c r="K362" s="536"/>
      <c r="L362" s="535" t="s">
        <v>80</v>
      </c>
      <c r="M362" s="536"/>
      <c r="N362" s="516" t="s">
        <v>81</v>
      </c>
      <c r="O362" s="390"/>
    </row>
    <row r="363" spans="2:15" s="192" customFormat="1" ht="20.100000000000001" customHeight="1">
      <c r="B363" s="198"/>
      <c r="C363" s="198"/>
      <c r="D363" s="31"/>
      <c r="E363" s="32"/>
      <c r="F363" s="32"/>
      <c r="G363" s="32"/>
      <c r="H363" s="33"/>
      <c r="I363" s="34"/>
      <c r="J363" s="34" t="s">
        <v>82</v>
      </c>
      <c r="K363" s="34" t="s">
        <v>83</v>
      </c>
      <c r="L363" s="34" t="s">
        <v>82</v>
      </c>
      <c r="M363" s="34" t="s">
        <v>84</v>
      </c>
      <c r="N363" s="517"/>
      <c r="O363" s="390"/>
    </row>
    <row r="364" spans="2:15" ht="20.100000000000001" customHeight="1">
      <c r="B364" s="260" t="s">
        <v>292</v>
      </c>
      <c r="D364" s="35" t="str">
        <f t="shared" ref="D364:D369" si="24">IF(B364=0,0,VLOOKUP(B364,EQUIP,3,FALSE))</f>
        <v>TRATOR AGRICOLA (77 KW)</v>
      </c>
      <c r="E364" s="91"/>
      <c r="F364" s="91"/>
      <c r="G364" s="91"/>
      <c r="H364" s="92"/>
      <c r="I364" s="215">
        <v>1</v>
      </c>
      <c r="J364" s="38">
        <v>0.15</v>
      </c>
      <c r="K364" s="38">
        <f t="shared" ref="K364:K369" si="25">1-J364</f>
        <v>0.85</v>
      </c>
      <c r="L364" s="215">
        <f t="shared" ref="L364:L369" si="26">IF(B364=0,0,VLOOKUP(B364,EQUIP,6,FALSE))</f>
        <v>65.799899999999994</v>
      </c>
      <c r="M364" s="38">
        <f t="shared" ref="M364:M369" si="27">IF(B364=0,0,VLOOKUP(B364,EQUIP,7,FALSE))</f>
        <v>17.27</v>
      </c>
      <c r="N364" s="269">
        <f t="shared" ref="N364:N369" si="28">ROUND(I364*J364*L364+I364*K364*M364,2)</f>
        <v>24.55</v>
      </c>
    </row>
    <row r="365" spans="2:15" ht="20.100000000000001" customHeight="1">
      <c r="B365" s="260" t="s">
        <v>288</v>
      </c>
      <c r="D365" s="35" t="str">
        <f t="shared" si="24"/>
        <v>ROLO COMPACTADOR TANDEM VIBRAT. AUTOPROPO. 10,9 T (112 KW)</v>
      </c>
      <c r="E365" s="91"/>
      <c r="F365" s="91"/>
      <c r="G365" s="91"/>
      <c r="H365" s="92"/>
      <c r="I365" s="224">
        <v>1</v>
      </c>
      <c r="J365" s="38">
        <v>0.55000000000000004</v>
      </c>
      <c r="K365" s="38">
        <f t="shared" si="25"/>
        <v>0.44999999999999996</v>
      </c>
      <c r="L365" s="215">
        <f t="shared" si="26"/>
        <v>112.07</v>
      </c>
      <c r="M365" s="38">
        <f t="shared" si="27"/>
        <v>17.27</v>
      </c>
      <c r="N365" s="269">
        <f t="shared" si="28"/>
        <v>69.41</v>
      </c>
    </row>
    <row r="366" spans="2:15" ht="20.100000000000001" customHeight="1">
      <c r="B366" s="260" t="s">
        <v>285</v>
      </c>
      <c r="D366" s="35" t="str">
        <f t="shared" si="24"/>
        <v>ROLO COMPACTADOR DE PNEUS 21 t (97 KW)</v>
      </c>
      <c r="E366" s="91"/>
      <c r="F366" s="91"/>
      <c r="G366" s="91"/>
      <c r="H366" s="92"/>
      <c r="I366" s="224">
        <v>1</v>
      </c>
      <c r="J366" s="38">
        <v>0.55000000000000004</v>
      </c>
      <c r="K366" s="38">
        <f t="shared" si="25"/>
        <v>0.44999999999999996</v>
      </c>
      <c r="L366" s="215">
        <f t="shared" si="26"/>
        <v>96.39</v>
      </c>
      <c r="M366" s="38">
        <f t="shared" si="27"/>
        <v>17.27</v>
      </c>
      <c r="N366" s="269">
        <f t="shared" si="28"/>
        <v>60.79</v>
      </c>
    </row>
    <row r="367" spans="2:15" ht="20.100000000000001" customHeight="1">
      <c r="B367" s="260" t="s">
        <v>296</v>
      </c>
      <c r="D367" s="35" t="str">
        <f t="shared" si="24"/>
        <v>VASSOURA MECÂNICA REBOCÁVEL</v>
      </c>
      <c r="E367" s="36"/>
      <c r="F367" s="36"/>
      <c r="G367" s="36"/>
      <c r="H367" s="37"/>
      <c r="I367" s="215">
        <v>1</v>
      </c>
      <c r="J367" s="38">
        <v>0.15</v>
      </c>
      <c r="K367" s="38">
        <f t="shared" si="25"/>
        <v>0.85</v>
      </c>
      <c r="L367" s="215">
        <f t="shared" si="26"/>
        <v>3.83</v>
      </c>
      <c r="M367" s="38">
        <f t="shared" si="27"/>
        <v>0</v>
      </c>
      <c r="N367" s="269">
        <f t="shared" si="28"/>
        <v>0.56999999999999995</v>
      </c>
    </row>
    <row r="368" spans="2:15" ht="20.100000000000001" customHeight="1">
      <c r="B368" s="260" t="s">
        <v>297</v>
      </c>
      <c r="D368" s="35" t="str">
        <f t="shared" si="24"/>
        <v>VIBRO ACABADORA ASFALTO B.GREENE</v>
      </c>
      <c r="E368" s="36"/>
      <c r="F368" s="36"/>
      <c r="G368" s="36"/>
      <c r="H368" s="37"/>
      <c r="I368" s="215">
        <v>1</v>
      </c>
      <c r="J368" s="38">
        <v>0.65</v>
      </c>
      <c r="K368" s="38">
        <f t="shared" si="25"/>
        <v>0.35</v>
      </c>
      <c r="L368" s="215">
        <f t="shared" si="26"/>
        <v>357.07</v>
      </c>
      <c r="M368" s="38">
        <f t="shared" si="27"/>
        <v>227.45358999999999</v>
      </c>
      <c r="N368" s="269">
        <f t="shared" si="28"/>
        <v>311.7</v>
      </c>
    </row>
    <row r="369" spans="2:15" ht="20.100000000000001" customHeight="1">
      <c r="B369" s="260" t="s">
        <v>262</v>
      </c>
      <c r="D369" s="35" t="str">
        <f t="shared" si="24"/>
        <v>CAMINHÃO BASCULANTE 10m3 - 15 T (170 KW)</v>
      </c>
      <c r="E369" s="36"/>
      <c r="F369" s="36"/>
      <c r="G369" s="36"/>
      <c r="H369" s="37"/>
      <c r="I369" s="224">
        <v>1.7</v>
      </c>
      <c r="J369" s="38">
        <v>0.65</v>
      </c>
      <c r="K369" s="38">
        <f t="shared" si="25"/>
        <v>0.35</v>
      </c>
      <c r="L369" s="215">
        <f t="shared" si="26"/>
        <v>135.83000000000001</v>
      </c>
      <c r="M369" s="38">
        <f t="shared" si="27"/>
        <v>20.47</v>
      </c>
      <c r="N369" s="269">
        <f t="shared" si="28"/>
        <v>162.27000000000001</v>
      </c>
    </row>
    <row r="370" spans="2:15" s="192" customFormat="1" ht="20.100000000000001" customHeight="1">
      <c r="B370" s="260"/>
      <c r="C370" s="198"/>
      <c r="D370" s="93"/>
      <c r="E370" s="94"/>
      <c r="F370" s="94"/>
      <c r="G370" s="94"/>
      <c r="H370" s="95"/>
      <c r="I370" s="215"/>
      <c r="J370" s="38"/>
      <c r="K370" s="38"/>
      <c r="L370" s="57"/>
      <c r="M370" s="39"/>
      <c r="N370" s="269"/>
      <c r="O370" s="390"/>
    </row>
    <row r="371" spans="2:15" s="192" customFormat="1" ht="20.100000000000001" customHeight="1">
      <c r="B371" s="198"/>
      <c r="C371" s="198"/>
      <c r="D371" s="40"/>
      <c r="E371" s="41"/>
      <c r="F371" s="41"/>
      <c r="G371" s="41"/>
      <c r="H371" s="41"/>
      <c r="I371" s="216"/>
      <c r="J371" s="41"/>
      <c r="K371" s="41"/>
      <c r="L371" s="216"/>
      <c r="M371" s="42" t="s">
        <v>89</v>
      </c>
      <c r="N371" s="270">
        <f>SUM(N364:N369)</f>
        <v>629.29</v>
      </c>
      <c r="O371" s="390"/>
    </row>
    <row r="372" spans="2:15" s="192" customFormat="1" ht="20.100000000000001" customHeight="1">
      <c r="B372" s="198"/>
      <c r="C372" s="198"/>
      <c r="D372" s="43"/>
      <c r="E372" s="44"/>
      <c r="F372" s="44"/>
      <c r="G372" s="45"/>
      <c r="H372" s="44"/>
      <c r="I372" s="217"/>
      <c r="J372" s="46"/>
      <c r="K372" s="47"/>
      <c r="L372" s="48"/>
      <c r="M372" s="48"/>
      <c r="N372" s="271"/>
      <c r="O372" s="390"/>
    </row>
    <row r="373" spans="2:15" s="192" customFormat="1" ht="20.100000000000001" customHeight="1">
      <c r="B373" s="198"/>
      <c r="C373" s="198"/>
      <c r="D373" s="518" t="s">
        <v>90</v>
      </c>
      <c r="E373" s="519"/>
      <c r="F373" s="519"/>
      <c r="G373" s="519"/>
      <c r="H373" s="519"/>
      <c r="I373" s="519"/>
      <c r="J373" s="513"/>
      <c r="K373" s="50" t="s">
        <v>91</v>
      </c>
      <c r="L373" s="51" t="s">
        <v>92</v>
      </c>
      <c r="M373" s="51" t="s">
        <v>93</v>
      </c>
      <c r="N373" s="272" t="s">
        <v>94</v>
      </c>
      <c r="O373" s="390"/>
    </row>
    <row r="374" spans="2:15" ht="20.100000000000001" customHeight="1">
      <c r="B374" s="260" t="s">
        <v>250</v>
      </c>
      <c r="D374" s="52" t="str">
        <f>IF(B374=0,0,VLOOKUP(B374,MO,2,FALSE))</f>
        <v>ENCARREGADO DE PAVIMENTAÇÃO</v>
      </c>
      <c r="E374" s="53"/>
      <c r="F374" s="53"/>
      <c r="G374" s="53"/>
      <c r="H374" s="53"/>
      <c r="I374" s="36"/>
      <c r="J374" s="54"/>
      <c r="K374" s="39"/>
      <c r="L374" s="55">
        <v>1</v>
      </c>
      <c r="M374" s="55">
        <f>IF(B374=0,0,VLOOKUP(B374,MO,6,FALSE))</f>
        <v>44.786799999999999</v>
      </c>
      <c r="N374" s="273">
        <f>ROUND(L374*M374,2)</f>
        <v>44.79</v>
      </c>
    </row>
    <row r="375" spans="2:15" ht="20.100000000000001" customHeight="1">
      <c r="B375" s="260" t="s">
        <v>248</v>
      </c>
      <c r="D375" s="52" t="str">
        <f>IF(B375=0,0,VLOOKUP(B375,MO,2,FALSE))</f>
        <v>SERVENTE</v>
      </c>
      <c r="E375" s="53"/>
      <c r="F375" s="53"/>
      <c r="G375" s="53"/>
      <c r="H375" s="53"/>
      <c r="I375" s="36"/>
      <c r="J375" s="54"/>
      <c r="K375" s="39"/>
      <c r="L375" s="55">
        <v>6</v>
      </c>
      <c r="M375" s="55">
        <f>IF(B375=0,0,VLOOKUP(B375,MO,6,FALSE))</f>
        <v>7.9973000000000001</v>
      </c>
      <c r="N375" s="273">
        <f>ROUND(L375*M375,2)</f>
        <v>47.98</v>
      </c>
    </row>
    <row r="376" spans="2:15" s="192" customFormat="1" ht="20.100000000000001" customHeight="1">
      <c r="B376" s="260"/>
      <c r="C376" s="198"/>
      <c r="D376" s="52" t="s">
        <v>122</v>
      </c>
      <c r="E376" s="53"/>
      <c r="F376" s="53"/>
      <c r="G376" s="53"/>
      <c r="H376" s="53"/>
      <c r="I376" s="36"/>
      <c r="J376" s="54"/>
      <c r="K376" s="56">
        <v>0</v>
      </c>
      <c r="L376" s="57">
        <f>N374+N375</f>
        <v>92.77</v>
      </c>
      <c r="M376" s="55"/>
      <c r="N376" s="273">
        <f>ROUND(L376*K376,2)</f>
        <v>0</v>
      </c>
      <c r="O376" s="390"/>
    </row>
    <row r="377" spans="2:15" s="192" customFormat="1" ht="20.100000000000001" customHeight="1">
      <c r="B377" s="198"/>
      <c r="C377" s="198"/>
      <c r="D377" s="58"/>
      <c r="E377" s="59"/>
      <c r="F377" s="60"/>
      <c r="G377" s="60"/>
      <c r="H377" s="44"/>
      <c r="I377" s="217"/>
      <c r="J377" s="61"/>
      <c r="K377" s="47"/>
      <c r="L377" s="48"/>
      <c r="M377" s="62" t="s">
        <v>98</v>
      </c>
      <c r="N377" s="270">
        <f>SUM(N374:N376)</f>
        <v>92.77</v>
      </c>
      <c r="O377" s="390"/>
    </row>
    <row r="378" spans="2:15" s="192" customFormat="1" ht="20.100000000000001" customHeight="1">
      <c r="B378" s="198"/>
      <c r="C378" s="198"/>
      <c r="D378" s="43"/>
      <c r="E378" s="44"/>
      <c r="F378" s="44"/>
      <c r="G378" s="44"/>
      <c r="H378" s="44"/>
      <c r="I378" s="217"/>
      <c r="J378" s="61"/>
      <c r="K378" s="47"/>
      <c r="L378" s="48"/>
      <c r="M378" s="48"/>
      <c r="N378" s="271"/>
      <c r="O378" s="390"/>
    </row>
    <row r="379" spans="2:15" s="192" customFormat="1" ht="20.100000000000001" customHeight="1">
      <c r="B379" s="198"/>
      <c r="C379" s="198"/>
      <c r="D379" s="40"/>
      <c r="E379" s="60"/>
      <c r="F379" s="60"/>
      <c r="G379" s="60"/>
      <c r="H379" s="63"/>
      <c r="I379" s="218"/>
      <c r="J379" s="63"/>
      <c r="K379" s="509" t="s">
        <v>99</v>
      </c>
      <c r="L379" s="510"/>
      <c r="M379" s="511"/>
      <c r="N379" s="275">
        <f>+N371+N377</f>
        <v>722.06</v>
      </c>
      <c r="O379" s="390"/>
    </row>
    <row r="380" spans="2:15" s="192" customFormat="1" ht="20.100000000000001" customHeight="1">
      <c r="B380" s="198"/>
      <c r="C380" s="198"/>
      <c r="D380" s="64"/>
      <c r="E380" s="44"/>
      <c r="F380" s="44"/>
      <c r="G380" s="45"/>
      <c r="H380" s="44"/>
      <c r="I380" s="217"/>
      <c r="J380" s="46"/>
      <c r="K380" s="47"/>
      <c r="L380" s="48"/>
      <c r="M380" s="48"/>
      <c r="N380" s="271"/>
      <c r="O380" s="390"/>
    </row>
    <row r="381" spans="2:15" s="192" customFormat="1" ht="20.100000000000001" customHeight="1">
      <c r="B381" s="198"/>
      <c r="C381" s="198"/>
      <c r="D381" s="58"/>
      <c r="E381" s="509" t="s">
        <v>100</v>
      </c>
      <c r="F381" s="510"/>
      <c r="G381" s="510"/>
      <c r="H381" s="511"/>
      <c r="I381" s="219">
        <v>75</v>
      </c>
      <c r="J381" s="48"/>
      <c r="K381" s="506" t="s">
        <v>101</v>
      </c>
      <c r="L381" s="507"/>
      <c r="M381" s="507"/>
      <c r="N381" s="276">
        <f>ROUND(N379/I381,2)</f>
        <v>9.6300000000000008</v>
      </c>
      <c r="O381" s="390"/>
    </row>
    <row r="382" spans="2:15" s="192" customFormat="1" ht="20.100000000000001" customHeight="1">
      <c r="B382" s="198"/>
      <c r="C382" s="198"/>
      <c r="D382" s="43"/>
      <c r="E382" s="44"/>
      <c r="F382" s="44"/>
      <c r="G382" s="65"/>
      <c r="H382" s="44"/>
      <c r="I382" s="48"/>
      <c r="J382" s="46"/>
      <c r="K382" s="46"/>
      <c r="L382" s="48"/>
      <c r="M382" s="46"/>
      <c r="N382" s="277"/>
      <c r="O382" s="390"/>
    </row>
    <row r="383" spans="2:15" s="192" customFormat="1" ht="20.100000000000001" customHeight="1">
      <c r="B383" s="198"/>
      <c r="C383" s="198"/>
      <c r="D383" s="49" t="s">
        <v>102</v>
      </c>
      <c r="E383" s="22"/>
      <c r="F383" s="22"/>
      <c r="G383" s="22"/>
      <c r="H383" s="22"/>
      <c r="I383" s="141"/>
      <c r="J383" s="23"/>
      <c r="K383" s="50" t="s">
        <v>103</v>
      </c>
      <c r="L383" s="51" t="s">
        <v>80</v>
      </c>
      <c r="M383" s="51" t="s">
        <v>104</v>
      </c>
      <c r="N383" s="272" t="s">
        <v>105</v>
      </c>
      <c r="O383" s="390"/>
    </row>
    <row r="384" spans="2:15" s="192" customFormat="1" ht="20.100000000000001" customHeight="1">
      <c r="B384" s="260" t="s">
        <v>306</v>
      </c>
      <c r="C384" s="198"/>
      <c r="D384" s="52" t="str">
        <f>IF(B384=0,0,VLOOKUP(B384,MAT,3,FALSE))</f>
        <v>CBUQ - USINAGEM</v>
      </c>
      <c r="E384" s="53"/>
      <c r="F384" s="53"/>
      <c r="G384" s="53"/>
      <c r="H384" s="53"/>
      <c r="I384" s="36"/>
      <c r="J384" s="54"/>
      <c r="K384" s="66" t="str">
        <f>IF(B384=0,0,VLOOKUP(B384,MAT,5,FALSE))</f>
        <v>T</v>
      </c>
      <c r="L384" s="67">
        <f>IF(B384=0,0,VLOOKUP(B384,MAT,6,FALSE))</f>
        <v>40.11</v>
      </c>
      <c r="M384" s="68">
        <v>1</v>
      </c>
      <c r="N384" s="273">
        <f>ROUND(L384*M384,2)</f>
        <v>40.11</v>
      </c>
      <c r="O384" s="390"/>
    </row>
    <row r="385" spans="2:16" s="192" customFormat="1" ht="20.100000000000001" customHeight="1">
      <c r="B385" s="260" t="s">
        <v>305</v>
      </c>
      <c r="C385" s="198"/>
      <c r="D385" s="52" t="str">
        <f>IF(B385=0,0,VLOOKUP(B385,MAT,3,FALSE))</f>
        <v>BRITA COMERCIAL</v>
      </c>
      <c r="E385" s="53"/>
      <c r="F385" s="53"/>
      <c r="G385" s="53"/>
      <c r="H385" s="53"/>
      <c r="I385" s="36"/>
      <c r="J385" s="54"/>
      <c r="K385" s="66" t="str">
        <f>IF(B385=0,0,VLOOKUP(B385,MAT,5,FALSE))</f>
        <v>M3</v>
      </c>
      <c r="L385" s="67">
        <f>IF(B385=0,0,VLOOKUP(B385,MAT,6,FALSE))</f>
        <v>30.630000000000003</v>
      </c>
      <c r="M385" s="68">
        <v>0.44700000000000001</v>
      </c>
      <c r="N385" s="278">
        <f>(L385*M385)</f>
        <v>13.691610000000001</v>
      </c>
      <c r="O385" s="390"/>
    </row>
    <row r="386" spans="2:16" s="192" customFormat="1" ht="20.100000000000001" customHeight="1">
      <c r="B386" s="260" t="s">
        <v>303</v>
      </c>
      <c r="C386" s="198"/>
      <c r="D386" s="52" t="str">
        <f>IF(B386=0,0,VLOOKUP(B386,MAT,3,FALSE))</f>
        <v xml:space="preserve">AREIA </v>
      </c>
      <c r="E386" s="53"/>
      <c r="F386" s="53"/>
      <c r="G386" s="53"/>
      <c r="H386" s="53"/>
      <c r="I386" s="36"/>
      <c r="J386" s="54"/>
      <c r="K386" s="66" t="str">
        <f>IF(B386=0,0,VLOOKUP(B386,MAT,5,FALSE))</f>
        <v>M3</v>
      </c>
      <c r="L386" s="67">
        <f>IF(B386=0,0,VLOOKUP(B386,MAT,6,FALSE))</f>
        <v>23.28</v>
      </c>
      <c r="M386" s="68">
        <v>0.161</v>
      </c>
      <c r="N386" s="278">
        <f>(L386*M386)</f>
        <v>3.7480800000000003</v>
      </c>
      <c r="O386" s="390"/>
    </row>
    <row r="387" spans="2:16" s="192" customFormat="1" ht="20.100000000000001" customHeight="1">
      <c r="B387" s="260"/>
      <c r="C387" s="198"/>
      <c r="D387" s="383">
        <f>IF(B387=0,0,VLOOKUP(B387,MAT,3,FALSE))</f>
        <v>0</v>
      </c>
      <c r="E387" s="384"/>
      <c r="F387" s="384"/>
      <c r="G387" s="384"/>
      <c r="H387" s="384"/>
      <c r="I387" s="384"/>
      <c r="J387" s="385"/>
      <c r="K387" s="386">
        <f>IF(B387=0,0,VLOOKUP(B387,MAT,5,FALSE))</f>
        <v>0</v>
      </c>
      <c r="L387" s="387">
        <f>IF(B387=0,0,VLOOKUP(B387,MAT,6,FALSE))</f>
        <v>0</v>
      </c>
      <c r="M387" s="68"/>
      <c r="N387" s="388">
        <f>(L387*M387)</f>
        <v>0</v>
      </c>
      <c r="O387" s="390"/>
    </row>
    <row r="388" spans="2:16" s="192" customFormat="1" ht="20.100000000000001" customHeight="1">
      <c r="B388" s="260"/>
      <c r="C388" s="198"/>
      <c r="D388" s="52"/>
      <c r="E388" s="53"/>
      <c r="F388" s="53"/>
      <c r="G388" s="53"/>
      <c r="H388" s="53"/>
      <c r="I388" s="36"/>
      <c r="J388" s="54"/>
      <c r="K388" s="66"/>
      <c r="L388" s="67"/>
      <c r="M388" s="75"/>
      <c r="N388" s="273"/>
      <c r="O388" s="390"/>
    </row>
    <row r="389" spans="2:16" s="192" customFormat="1" ht="20.100000000000001" customHeight="1">
      <c r="B389" s="198"/>
      <c r="C389" s="198"/>
      <c r="D389" s="43"/>
      <c r="E389" s="44"/>
      <c r="F389" s="44"/>
      <c r="G389" s="65"/>
      <c r="H389" s="44"/>
      <c r="I389" s="48"/>
      <c r="J389" s="46"/>
      <c r="K389" s="46"/>
      <c r="L389" s="48"/>
      <c r="M389" s="71" t="s">
        <v>106</v>
      </c>
      <c r="N389" s="270">
        <f>SUM(N384:N387)</f>
        <v>57.549689999999998</v>
      </c>
      <c r="O389" s="390"/>
    </row>
    <row r="390" spans="2:16" s="192" customFormat="1" ht="20.100000000000001" customHeight="1">
      <c r="B390" s="198"/>
      <c r="C390" s="198"/>
      <c r="D390" s="43"/>
      <c r="E390" s="44"/>
      <c r="F390" s="44"/>
      <c r="G390" s="65"/>
      <c r="H390" s="44"/>
      <c r="I390" s="48"/>
      <c r="J390" s="46"/>
      <c r="K390" s="46"/>
      <c r="L390" s="48"/>
      <c r="M390" s="46"/>
      <c r="N390" s="277"/>
      <c r="O390" s="390"/>
    </row>
    <row r="391" spans="2:16" ht="20.100000000000001" customHeight="1">
      <c r="D391" s="527" t="s">
        <v>107</v>
      </c>
      <c r="E391" s="72" t="s">
        <v>2</v>
      </c>
      <c r="F391" s="73"/>
      <c r="G391" s="73"/>
      <c r="H391" s="74"/>
      <c r="I391" s="498" t="s">
        <v>108</v>
      </c>
      <c r="J391" s="499"/>
      <c r="K391" s="531" t="s">
        <v>103</v>
      </c>
      <c r="L391" s="514" t="s">
        <v>80</v>
      </c>
      <c r="M391" s="531" t="s">
        <v>109</v>
      </c>
      <c r="N391" s="529" t="s">
        <v>105</v>
      </c>
    </row>
    <row r="392" spans="2:16" ht="20.100000000000001" customHeight="1">
      <c r="D392" s="528"/>
      <c r="E392" s="512" t="s">
        <v>127</v>
      </c>
      <c r="F392" s="513"/>
      <c r="G392" s="512" t="s">
        <v>111</v>
      </c>
      <c r="H392" s="513"/>
      <c r="I392" s="500"/>
      <c r="J392" s="501"/>
      <c r="K392" s="532"/>
      <c r="L392" s="515"/>
      <c r="M392" s="532"/>
      <c r="N392" s="530"/>
    </row>
    <row r="393" spans="2:16" s="192" customFormat="1" ht="20.100000000000001" customHeight="1">
      <c r="B393" s="260" t="s">
        <v>331</v>
      </c>
      <c r="C393" s="198"/>
      <c r="D393" s="261" t="str">
        <f>IF(B393=0,0,VLOOKUP(B393,TRANS,3,FALSE))</f>
        <v xml:space="preserve">CBUQ </v>
      </c>
      <c r="E393" s="504">
        <f>IF(B393=0,0,VLOOKUP(B393,TRANS,5,FALSE))</f>
        <v>0.37</v>
      </c>
      <c r="F393" s="505"/>
      <c r="G393" s="553"/>
      <c r="H393" s="554"/>
      <c r="I393" s="504">
        <f>IF(B393=0,0,VLOOKUP(B393,TRANS,6,FALSE))</f>
        <v>25</v>
      </c>
      <c r="J393" s="505"/>
      <c r="K393" s="66" t="str">
        <f>IF(B393=0,0,VLOOKUP(B393,TRANS,4,FALSE))</f>
        <v>T.KM</v>
      </c>
      <c r="L393" s="67">
        <f>E393*I393</f>
        <v>9.25</v>
      </c>
      <c r="M393" s="68">
        <f>M384</f>
        <v>1</v>
      </c>
      <c r="N393" s="273">
        <f>ROUND(L393*M393,2)</f>
        <v>9.25</v>
      </c>
      <c r="O393" s="390"/>
    </row>
    <row r="394" spans="2:16" s="192" customFormat="1" ht="20.100000000000001" customHeight="1">
      <c r="B394" s="260" t="s">
        <v>328</v>
      </c>
      <c r="C394" s="198"/>
      <c r="D394" s="261" t="str">
        <f>IF(B394=0,0,VLOOKUP(B394,TRANS,3,FALSE))</f>
        <v>BRITA ( PED - USINA )</v>
      </c>
      <c r="E394" s="504">
        <f>IF(B394=0,0,VLOOKUP(B394,TRANS,5,FALSE))</f>
        <v>0.33</v>
      </c>
      <c r="F394" s="505"/>
      <c r="G394" s="502"/>
      <c r="H394" s="503"/>
      <c r="I394" s="504">
        <f>IF(B394=0,0,VLOOKUP(B394,TRANS,6,FALSE))</f>
        <v>1</v>
      </c>
      <c r="J394" s="505"/>
      <c r="K394" s="66" t="str">
        <f>IF(B394=0,0,VLOOKUP(B394,TRANS,4,FALSE))</f>
        <v>T.KM</v>
      </c>
      <c r="L394" s="67">
        <f>(E394*I394)+H394</f>
        <v>0.33</v>
      </c>
      <c r="M394" s="409">
        <v>0.70799999999999996</v>
      </c>
      <c r="N394" s="278">
        <f>(L394*M394)</f>
        <v>0.23363999999999999</v>
      </c>
      <c r="O394" s="391">
        <f>M394+M395+M396+M405</f>
        <v>1</v>
      </c>
      <c r="P394" s="192" t="s">
        <v>540</v>
      </c>
    </row>
    <row r="395" spans="2:16" s="192" customFormat="1" ht="20.100000000000001" customHeight="1">
      <c r="B395" s="260" t="s">
        <v>326</v>
      </c>
      <c r="C395" s="198"/>
      <c r="D395" s="261" t="str">
        <f>IF(B395=0,0,VLOOKUP(B395,TRANS,3,FALSE))</f>
        <v>AREIA ( AREAL - USINA )</v>
      </c>
      <c r="E395" s="504">
        <f>IF(B395=0,0,VLOOKUP(B395,TRANS,5,FALSE))</f>
        <v>0.33</v>
      </c>
      <c r="F395" s="505"/>
      <c r="G395" s="545"/>
      <c r="H395" s="546"/>
      <c r="I395" s="504">
        <f>IF(B395=0,0,VLOOKUP(B395,TRANS,6,FALSE))</f>
        <v>65.06</v>
      </c>
      <c r="J395" s="505"/>
      <c r="K395" s="66" t="str">
        <f>IF(B395=0,0,VLOOKUP(B395,TRANS,4,FALSE))</f>
        <v>T.KM</v>
      </c>
      <c r="L395" s="67">
        <f>(E395*I395)+H395</f>
        <v>21.469800000000003</v>
      </c>
      <c r="M395" s="409">
        <v>0.24199999999999999</v>
      </c>
      <c r="N395" s="278">
        <f>(L395*M395)</f>
        <v>5.1956916000000009</v>
      </c>
      <c r="O395" s="390"/>
    </row>
    <row r="396" spans="2:16" s="192" customFormat="1" ht="20.100000000000001" customHeight="1">
      <c r="B396" s="260"/>
      <c r="C396" s="198"/>
      <c r="D396" s="261">
        <f>IF(B396=0,0,VLOOKUP(B396,TRANS,3,FALSE))</f>
        <v>0</v>
      </c>
      <c r="E396" s="504">
        <f>IF(B396=0,0,VLOOKUP(B396,TRANS,5,FALSE))</f>
        <v>0</v>
      </c>
      <c r="F396" s="505"/>
      <c r="G396" s="545"/>
      <c r="H396" s="546"/>
      <c r="I396" s="504"/>
      <c r="J396" s="505"/>
      <c r="K396" s="262">
        <f>IF(B396=0,0,VLOOKUP(B396,TRANS,4,FALSE))</f>
        <v>0</v>
      </c>
      <c r="L396" s="67"/>
      <c r="M396" s="413"/>
      <c r="N396" s="317">
        <f>L396*M396</f>
        <v>0</v>
      </c>
      <c r="O396" s="390"/>
    </row>
    <row r="397" spans="2:16" s="192" customFormat="1" ht="20.100000000000001" customHeight="1">
      <c r="B397" s="198"/>
      <c r="C397" s="198"/>
      <c r="D397" s="98"/>
      <c r="E397" s="99"/>
      <c r="F397" s="44"/>
      <c r="G397" s="65"/>
      <c r="H397" s="44"/>
      <c r="I397" s="48"/>
      <c r="J397" s="46"/>
      <c r="K397" s="46"/>
      <c r="L397" s="48"/>
      <c r="M397" s="71" t="s">
        <v>112</v>
      </c>
      <c r="N397" s="270">
        <f>SUM(N393:N396)</f>
        <v>14.679331600000001</v>
      </c>
      <c r="O397" s="390"/>
    </row>
    <row r="398" spans="2:16" s="192" customFormat="1" ht="20.100000000000001" customHeight="1">
      <c r="B398" s="198"/>
      <c r="C398" s="198"/>
      <c r="D398" s="98"/>
      <c r="E398" s="99"/>
      <c r="F398" s="44"/>
      <c r="G398" s="65"/>
      <c r="H398" s="44"/>
      <c r="I398" s="48"/>
      <c r="J398" s="46"/>
      <c r="K398" s="46"/>
      <c r="L398" s="48"/>
      <c r="M398" s="100"/>
      <c r="N398" s="282"/>
      <c r="O398" s="390"/>
    </row>
    <row r="399" spans="2:16" s="192" customFormat="1" ht="20.100000000000001" customHeight="1">
      <c r="B399" s="198"/>
      <c r="C399" s="198"/>
      <c r="D399" s="98"/>
      <c r="E399" s="99"/>
      <c r="F399" s="44"/>
      <c r="G399" s="65"/>
      <c r="H399" s="44"/>
      <c r="I399" s="48"/>
      <c r="J399" s="46"/>
      <c r="K399" s="565" t="s">
        <v>129</v>
      </c>
      <c r="L399" s="566"/>
      <c r="M399" s="567"/>
      <c r="N399" s="279">
        <f>+N381+N389+N397</f>
        <v>81.859021599999991</v>
      </c>
      <c r="O399" s="390"/>
    </row>
    <row r="400" spans="2:16" s="192" customFormat="1" ht="20.100000000000001" customHeight="1">
      <c r="B400" s="198"/>
      <c r="C400" s="198"/>
      <c r="D400" s="98"/>
      <c r="E400" s="99"/>
      <c r="F400" s="44"/>
      <c r="G400" s="65"/>
      <c r="H400" s="44"/>
      <c r="I400" s="48"/>
      <c r="J400" s="46"/>
      <c r="K400" s="81" t="s">
        <v>115</v>
      </c>
      <c r="L400" s="359">
        <f>DI</f>
        <v>0.26700000000000002</v>
      </c>
      <c r="M400" s="83"/>
      <c r="N400" s="279">
        <f>L400*N399</f>
        <v>21.8563587672</v>
      </c>
      <c r="O400" s="390"/>
    </row>
    <row r="401" spans="2:15" s="192" customFormat="1" ht="20.100000000000001" customHeight="1" thickBot="1">
      <c r="B401" s="198"/>
      <c r="C401" s="198"/>
      <c r="D401" s="102"/>
      <c r="E401" s="103"/>
      <c r="F401" s="104"/>
      <c r="G401" s="105"/>
      <c r="H401" s="104"/>
      <c r="I401" s="225"/>
      <c r="J401" s="85"/>
      <c r="K401" s="86" t="s">
        <v>130</v>
      </c>
      <c r="L401" s="280"/>
      <c r="M401" s="89"/>
      <c r="N401" s="281">
        <f>N399+N400</f>
        <v>103.7153803672</v>
      </c>
      <c r="O401" s="390"/>
    </row>
    <row r="402" spans="2:15" s="192" customFormat="1" ht="20.100000000000001" customHeight="1">
      <c r="B402" s="198"/>
      <c r="C402" s="198"/>
      <c r="D402" s="106"/>
      <c r="E402" s="107"/>
      <c r="F402" s="108"/>
      <c r="G402" s="109"/>
      <c r="H402" s="108"/>
      <c r="I402" s="226"/>
      <c r="J402" s="110"/>
      <c r="K402" s="111"/>
      <c r="L402" s="284"/>
      <c r="M402" s="111"/>
      <c r="N402" s="285"/>
      <c r="O402" s="390"/>
    </row>
    <row r="403" spans="2:15" s="192" customFormat="1" ht="20.100000000000001" customHeight="1" thickBot="1">
      <c r="B403" s="198"/>
      <c r="C403" s="198"/>
      <c r="D403" s="102"/>
      <c r="E403" s="103"/>
      <c r="F403" s="104"/>
      <c r="G403" s="105"/>
      <c r="H403" s="104"/>
      <c r="I403" s="225"/>
      <c r="J403" s="85"/>
      <c r="K403" s="112"/>
      <c r="L403" s="286"/>
      <c r="M403" s="112"/>
      <c r="N403" s="287"/>
      <c r="O403" s="390"/>
    </row>
    <row r="404" spans="2:15" s="192" customFormat="1" ht="20.100000000000001" customHeight="1">
      <c r="B404" s="198"/>
      <c r="C404" s="198"/>
      <c r="D404" s="571" t="s">
        <v>131</v>
      </c>
      <c r="E404" s="572"/>
      <c r="F404" s="572"/>
      <c r="G404" s="572"/>
      <c r="H404" s="572"/>
      <c r="I404" s="572"/>
      <c r="J404" s="573"/>
      <c r="K404" s="113" t="s">
        <v>103</v>
      </c>
      <c r="L404" s="34" t="s">
        <v>80</v>
      </c>
      <c r="M404" s="34" t="s">
        <v>104</v>
      </c>
      <c r="N404" s="288" t="s">
        <v>105</v>
      </c>
      <c r="O404" s="390"/>
    </row>
    <row r="405" spans="2:15" s="192" customFormat="1" ht="20.100000000000001" customHeight="1">
      <c r="B405" s="260" t="s">
        <v>357</v>
      </c>
      <c r="C405" s="198"/>
      <c r="D405" s="264" t="str">
        <f>IF(B405=0,0,VLOOKUP(B405,MAT_BET,3,FALSE))</f>
        <v>AQUISIÇÃO CAP -20</v>
      </c>
      <c r="E405" s="265"/>
      <c r="F405" s="265"/>
      <c r="G405" s="265"/>
      <c r="H405" s="265"/>
      <c r="I405" s="265"/>
      <c r="J405" s="266"/>
      <c r="K405" s="262" t="str">
        <f>IF(B405=0,0,VLOOKUP(B405,MAT_BET,4,FALSE))</f>
        <v>T</v>
      </c>
      <c r="L405" s="67">
        <f>IF(B405=0,0,VLOOKUP(B405,MAT_BET,5,FALSE))</f>
        <v>1132</v>
      </c>
      <c r="M405" s="409">
        <v>0.05</v>
      </c>
      <c r="N405" s="273">
        <f>ROUND(L405*M405,2)</f>
        <v>56.6</v>
      </c>
      <c r="O405" s="390" t="s">
        <v>541</v>
      </c>
    </row>
    <row r="406" spans="2:15" s="192" customFormat="1" ht="20.100000000000001" customHeight="1">
      <c r="B406" s="198"/>
      <c r="C406" s="198"/>
      <c r="D406" s="114"/>
      <c r="E406" s="59"/>
      <c r="F406" s="59"/>
      <c r="G406" s="59"/>
      <c r="H406" s="59"/>
      <c r="I406" s="91"/>
      <c r="J406" s="115"/>
      <c r="K406" s="81" t="s">
        <v>115</v>
      </c>
      <c r="L406" s="359">
        <f>DI</f>
        <v>0.26700000000000002</v>
      </c>
      <c r="M406" s="83"/>
      <c r="N406" s="279">
        <f>L406*N405</f>
        <v>15.112200000000001</v>
      </c>
      <c r="O406" s="390"/>
    </row>
    <row r="407" spans="2:15" s="192" customFormat="1" ht="20.100000000000001" customHeight="1">
      <c r="B407" s="198"/>
      <c r="C407" s="198"/>
      <c r="D407" s="76"/>
      <c r="E407" s="77"/>
      <c r="F407" s="77"/>
      <c r="G407" s="77"/>
      <c r="H407" s="77"/>
      <c r="I407" s="156"/>
      <c r="J407" s="116"/>
      <c r="K407" s="81" t="s">
        <v>132</v>
      </c>
      <c r="L407" s="289"/>
      <c r="M407" s="83"/>
      <c r="N407" s="279">
        <f>N405+N406</f>
        <v>71.712199999999996</v>
      </c>
      <c r="O407" s="390"/>
    </row>
    <row r="408" spans="2:15" s="192" customFormat="1" ht="20.100000000000001" customHeight="1">
      <c r="B408" s="198"/>
      <c r="C408" s="198"/>
      <c r="D408" s="117"/>
      <c r="E408" s="118"/>
      <c r="F408" s="118"/>
      <c r="G408" s="118"/>
      <c r="H408" s="118"/>
      <c r="I408" s="94"/>
      <c r="J408" s="119"/>
      <c r="K408" s="113" t="s">
        <v>103</v>
      </c>
      <c r="L408" s="34" t="s">
        <v>80</v>
      </c>
      <c r="M408" s="34" t="s">
        <v>104</v>
      </c>
      <c r="N408" s="288" t="s">
        <v>105</v>
      </c>
      <c r="O408" s="390"/>
    </row>
    <row r="409" spans="2:15" s="192" customFormat="1" ht="20.100000000000001" customHeight="1">
      <c r="B409" s="260" t="s">
        <v>363</v>
      </c>
      <c r="C409" s="198"/>
      <c r="D409" s="264" t="str">
        <f>IF(B409=0,0,VLOOKUP(B409,MAT_BET,3,FALSE))</f>
        <v>TRANSPORTE CAP - 20</v>
      </c>
      <c r="E409" s="265"/>
      <c r="F409" s="265"/>
      <c r="G409" s="265"/>
      <c r="H409" s="265"/>
      <c r="I409" s="265"/>
      <c r="J409" s="266"/>
      <c r="K409" s="262" t="str">
        <f>IF(B409=0,0,VLOOKUP(B409,MAT_BET,4,FALSE))</f>
        <v>T</v>
      </c>
      <c r="L409" s="67">
        <f>IF(B409=0,0,VLOOKUP(B409,MAT_BET,5,FALSE))</f>
        <v>230.69</v>
      </c>
      <c r="M409" s="409">
        <v>0.05</v>
      </c>
      <c r="N409" s="278">
        <f>(L409*M409)</f>
        <v>11.534500000000001</v>
      </c>
      <c r="O409" s="390"/>
    </row>
    <row r="410" spans="2:15" s="192" customFormat="1" ht="20.100000000000001" customHeight="1">
      <c r="B410" s="198"/>
      <c r="C410" s="198"/>
      <c r="D410" s="114"/>
      <c r="E410" s="59"/>
      <c r="F410" s="59"/>
      <c r="G410" s="59"/>
      <c r="H410" s="59"/>
      <c r="I410" s="91"/>
      <c r="J410" s="115"/>
      <c r="K410" s="81" t="s">
        <v>115</v>
      </c>
      <c r="L410" s="359">
        <f>DI</f>
        <v>0.26700000000000002</v>
      </c>
      <c r="M410" s="83"/>
      <c r="N410" s="279">
        <f>L410*N409</f>
        <v>3.0797115000000006</v>
      </c>
      <c r="O410" s="390"/>
    </row>
    <row r="411" spans="2:15" s="192" customFormat="1" ht="20.100000000000001" customHeight="1" thickBot="1">
      <c r="B411" s="198"/>
      <c r="C411" s="198"/>
      <c r="D411" s="76"/>
      <c r="E411" s="77"/>
      <c r="F411" s="77"/>
      <c r="G411" s="77"/>
      <c r="H411" s="77"/>
      <c r="I411" s="156"/>
      <c r="J411" s="116"/>
      <c r="K411" s="97" t="s">
        <v>133</v>
      </c>
      <c r="L411" s="361"/>
      <c r="M411" s="120"/>
      <c r="N411" s="291">
        <f>N409+N410</f>
        <v>14.614211500000001</v>
      </c>
      <c r="O411" s="390"/>
    </row>
    <row r="412" spans="2:15" s="192" customFormat="1" ht="20.100000000000001" customHeight="1" thickBot="1">
      <c r="B412" s="198"/>
      <c r="C412" s="198"/>
      <c r="D412" s="121"/>
      <c r="E412" s="122"/>
      <c r="F412" s="122"/>
      <c r="G412" s="123"/>
      <c r="H412" s="122"/>
      <c r="I412" s="227"/>
      <c r="J412" s="124"/>
      <c r="K412" s="549" t="s">
        <v>134</v>
      </c>
      <c r="L412" s="549"/>
      <c r="M412" s="550"/>
      <c r="N412" s="292">
        <f>N407+N411</f>
        <v>86.326411499999992</v>
      </c>
      <c r="O412" s="390"/>
    </row>
    <row r="413" spans="2:15" s="192" customFormat="1" ht="20.100000000000001" customHeight="1" thickBot="1">
      <c r="B413" s="198"/>
      <c r="C413" s="198"/>
      <c r="D413" s="43"/>
      <c r="E413" s="44"/>
      <c r="F413" s="44"/>
      <c r="G413" s="65"/>
      <c r="H413" s="44"/>
      <c r="I413" s="48"/>
      <c r="J413" s="46"/>
      <c r="K413" s="125"/>
      <c r="L413" s="293"/>
      <c r="M413" s="125"/>
      <c r="N413" s="282"/>
      <c r="O413" s="390"/>
    </row>
    <row r="414" spans="2:15" ht="20.100000000000001" customHeight="1">
      <c r="D414" s="126"/>
      <c r="E414" s="108"/>
      <c r="F414" s="108"/>
      <c r="G414" s="109"/>
      <c r="H414" s="108"/>
      <c r="I414" s="228" t="s">
        <v>114</v>
      </c>
      <c r="J414" s="128"/>
      <c r="K414" s="128"/>
      <c r="L414" s="354">
        <v>0.02</v>
      </c>
      <c r="M414" s="129"/>
      <c r="N414" s="294">
        <f>(N399+N405+N409)*L414</f>
        <v>2.9998704320000003</v>
      </c>
    </row>
    <row r="415" spans="2:15" ht="20.100000000000001" customHeight="1">
      <c r="D415" s="43"/>
      <c r="E415" s="44"/>
      <c r="F415" s="44"/>
      <c r="G415" s="65"/>
      <c r="H415" s="44"/>
      <c r="I415" s="563" t="s">
        <v>135</v>
      </c>
      <c r="J415" s="564"/>
      <c r="K415" s="564"/>
      <c r="L415" s="564"/>
      <c r="M415" s="125"/>
      <c r="N415" s="282">
        <f>N399+N405+N409+N414</f>
        <v>152.993392032</v>
      </c>
    </row>
    <row r="416" spans="2:15" ht="20.100000000000001" customHeight="1" thickBot="1">
      <c r="D416" s="130"/>
      <c r="E416" s="104"/>
      <c r="F416" s="104"/>
      <c r="G416" s="105"/>
      <c r="H416" s="104"/>
      <c r="I416" s="537" t="s">
        <v>136</v>
      </c>
      <c r="J416" s="538"/>
      <c r="K416" s="538"/>
      <c r="L416" s="538"/>
      <c r="M416" s="131"/>
      <c r="N416" s="295">
        <f>N415*2.4</f>
        <v>367.18414087679997</v>
      </c>
    </row>
    <row r="417" spans="2:15" ht="20.100000000000001" customHeight="1" thickBot="1">
      <c r="D417" s="98"/>
      <c r="E417" s="99"/>
      <c r="F417" s="44"/>
      <c r="G417" s="65"/>
      <c r="H417" s="44"/>
      <c r="I417" s="48"/>
      <c r="J417" s="46"/>
      <c r="K417" s="46"/>
      <c r="L417" s="48"/>
      <c r="M417" s="100"/>
      <c r="N417" s="282"/>
    </row>
    <row r="418" spans="2:15" ht="20.100000000000001" customHeight="1">
      <c r="D418" s="133"/>
      <c r="E418" s="134"/>
      <c r="F418" s="134"/>
      <c r="G418" s="134"/>
      <c r="H418" s="134"/>
      <c r="I418" s="229" t="s">
        <v>137</v>
      </c>
      <c r="J418" s="135"/>
      <c r="K418" s="135"/>
      <c r="L418" s="354">
        <f>DI</f>
        <v>0.26700000000000002</v>
      </c>
      <c r="M418" s="136"/>
      <c r="N418" s="294">
        <f>(N415*L406)+N415</f>
        <v>193.84262770454401</v>
      </c>
    </row>
    <row r="419" spans="2:15" ht="20.100000000000001" customHeight="1" thickBot="1">
      <c r="D419" s="137"/>
      <c r="E419" s="138"/>
      <c r="F419" s="138"/>
      <c r="G419" s="138"/>
      <c r="H419" s="138"/>
      <c r="I419" s="230" t="s">
        <v>138</v>
      </c>
      <c r="J419" s="139"/>
      <c r="K419" s="139"/>
      <c r="L419" s="358">
        <f>DI</f>
        <v>0.26700000000000002</v>
      </c>
      <c r="M419" s="140"/>
      <c r="N419" s="295">
        <f>N418*2.4</f>
        <v>465.22230649090562</v>
      </c>
    </row>
    <row r="422" spans="2:15" ht="20.100000000000001" customHeight="1" thickBot="1"/>
    <row r="423" spans="2:15" s="192" customFormat="1" ht="20.100000000000001" customHeight="1">
      <c r="B423" s="198" t="s">
        <v>191</v>
      </c>
      <c r="C423" s="198"/>
      <c r="D423" s="520" t="s">
        <v>231</v>
      </c>
      <c r="E423" s="521"/>
      <c r="F423" s="542" t="s">
        <v>74</v>
      </c>
      <c r="G423" s="543"/>
      <c r="H423" s="543"/>
      <c r="I423" s="543"/>
      <c r="J423" s="543"/>
      <c r="K423" s="543"/>
      <c r="L423" s="544"/>
      <c r="M423" s="19" t="s">
        <v>75</v>
      </c>
      <c r="N423" s="20" t="s">
        <v>76</v>
      </c>
      <c r="O423" s="390"/>
    </row>
    <row r="424" spans="2:15" s="192" customFormat="1" ht="20.100000000000001" customHeight="1">
      <c r="B424" s="198"/>
      <c r="C424" s="198"/>
      <c r="D424" s="522"/>
      <c r="E424" s="523"/>
      <c r="F424" s="512" t="str">
        <f>VLOOKUP(B423,Resumo_Composições,3,FALSE)</f>
        <v>CONCRETO BETUMINOSO USINADO A QUENTE - BINDER (restauração)</v>
      </c>
      <c r="G424" s="519"/>
      <c r="H424" s="519"/>
      <c r="I424" s="519"/>
      <c r="J424" s="519"/>
      <c r="K424" s="519"/>
      <c r="L424" s="513"/>
      <c r="M424" s="24" t="str">
        <f>VLOOKUP(B423,Resumo_Composições,4,FALSE)</f>
        <v>M3</v>
      </c>
      <c r="N424" s="25">
        <f>DATA</f>
        <v>41214</v>
      </c>
      <c r="O424" s="390"/>
    </row>
    <row r="425" spans="2:15" s="192" customFormat="1" ht="20.100000000000001" customHeight="1">
      <c r="B425" s="198"/>
      <c r="C425" s="198"/>
      <c r="D425" s="561" t="s">
        <v>77</v>
      </c>
      <c r="E425" s="562"/>
      <c r="F425" s="562"/>
      <c r="G425" s="562"/>
      <c r="H425" s="536"/>
      <c r="I425" s="51" t="s">
        <v>78</v>
      </c>
      <c r="J425" s="535" t="s">
        <v>79</v>
      </c>
      <c r="K425" s="536"/>
      <c r="L425" s="535" t="s">
        <v>80</v>
      </c>
      <c r="M425" s="536"/>
      <c r="N425" s="516" t="s">
        <v>81</v>
      </c>
      <c r="O425" s="390"/>
    </row>
    <row r="426" spans="2:15" s="192" customFormat="1" ht="20.100000000000001" customHeight="1">
      <c r="B426" s="198"/>
      <c r="C426" s="198"/>
      <c r="D426" s="31"/>
      <c r="E426" s="32"/>
      <c r="F426" s="32"/>
      <c r="G426" s="32"/>
      <c r="H426" s="33"/>
      <c r="I426" s="34"/>
      <c r="J426" s="34" t="s">
        <v>82</v>
      </c>
      <c r="K426" s="34" t="s">
        <v>83</v>
      </c>
      <c r="L426" s="34" t="s">
        <v>82</v>
      </c>
      <c r="M426" s="34" t="s">
        <v>84</v>
      </c>
      <c r="N426" s="517"/>
      <c r="O426" s="390"/>
    </row>
    <row r="427" spans="2:15" ht="20.100000000000001" customHeight="1">
      <c r="B427" s="260" t="s">
        <v>292</v>
      </c>
      <c r="D427" s="35" t="str">
        <f t="shared" ref="D427:D432" si="29">IF(B427=0,0,VLOOKUP(B427,EQUIP,3,FALSE))</f>
        <v>TRATOR AGRICOLA (77 KW)</v>
      </c>
      <c r="E427" s="91"/>
      <c r="F427" s="91"/>
      <c r="G427" s="91"/>
      <c r="H427" s="92"/>
      <c r="I427" s="215">
        <v>1</v>
      </c>
      <c r="J427" s="38">
        <v>0.15</v>
      </c>
      <c r="K427" s="38">
        <f t="shared" ref="K427:K432" si="30">1-J427</f>
        <v>0.85</v>
      </c>
      <c r="L427" s="215">
        <f t="shared" ref="L427:L432" si="31">IF(B427=0,0,VLOOKUP(B427,EQUIP,6,FALSE))</f>
        <v>65.799899999999994</v>
      </c>
      <c r="M427" s="38">
        <f t="shared" ref="M427:M432" si="32">IF(B427=0,0,VLOOKUP(B427,EQUIP,7,FALSE))</f>
        <v>17.27</v>
      </c>
      <c r="N427" s="269">
        <f t="shared" ref="N427:N432" si="33">ROUND(I427*J427*L427+I427*K427*M427,2)</f>
        <v>24.55</v>
      </c>
    </row>
    <row r="428" spans="2:15" ht="20.100000000000001" customHeight="1">
      <c r="B428" s="260" t="s">
        <v>288</v>
      </c>
      <c r="D428" s="35" t="str">
        <f t="shared" si="29"/>
        <v>ROLO COMPACTADOR TANDEM VIBRAT. AUTOPROPO. 10,9 T (112 KW)</v>
      </c>
      <c r="E428" s="91"/>
      <c r="F428" s="91"/>
      <c r="G428" s="91"/>
      <c r="H428" s="92"/>
      <c r="I428" s="224">
        <v>1</v>
      </c>
      <c r="J428" s="38">
        <v>0.55000000000000004</v>
      </c>
      <c r="K428" s="38">
        <f t="shared" si="30"/>
        <v>0.44999999999999996</v>
      </c>
      <c r="L428" s="215">
        <f t="shared" si="31"/>
        <v>112.07</v>
      </c>
      <c r="M428" s="38">
        <f t="shared" si="32"/>
        <v>17.27</v>
      </c>
      <c r="N428" s="269">
        <f t="shared" si="33"/>
        <v>69.41</v>
      </c>
    </row>
    <row r="429" spans="2:15" ht="20.100000000000001" customHeight="1">
      <c r="B429" s="260" t="s">
        <v>285</v>
      </c>
      <c r="D429" s="35" t="str">
        <f t="shared" si="29"/>
        <v>ROLO COMPACTADOR DE PNEUS 21 t (97 KW)</v>
      </c>
      <c r="E429" s="91"/>
      <c r="F429" s="91"/>
      <c r="G429" s="91"/>
      <c r="H429" s="92"/>
      <c r="I429" s="224">
        <v>1</v>
      </c>
      <c r="J429" s="38">
        <v>0.55000000000000004</v>
      </c>
      <c r="K429" s="38">
        <f t="shared" si="30"/>
        <v>0.44999999999999996</v>
      </c>
      <c r="L429" s="215">
        <f t="shared" si="31"/>
        <v>96.39</v>
      </c>
      <c r="M429" s="38">
        <f t="shared" si="32"/>
        <v>17.27</v>
      </c>
      <c r="N429" s="269">
        <f t="shared" si="33"/>
        <v>60.79</v>
      </c>
    </row>
    <row r="430" spans="2:15" ht="20.100000000000001" customHeight="1">
      <c r="B430" s="260" t="s">
        <v>296</v>
      </c>
      <c r="D430" s="35" t="str">
        <f t="shared" si="29"/>
        <v>VASSOURA MECÂNICA REBOCÁVEL</v>
      </c>
      <c r="E430" s="36"/>
      <c r="F430" s="36"/>
      <c r="G430" s="36"/>
      <c r="H430" s="37"/>
      <c r="I430" s="215">
        <v>1</v>
      </c>
      <c r="J430" s="38">
        <v>0.15</v>
      </c>
      <c r="K430" s="38">
        <f t="shared" si="30"/>
        <v>0.85</v>
      </c>
      <c r="L430" s="215">
        <f t="shared" si="31"/>
        <v>3.83</v>
      </c>
      <c r="M430" s="38">
        <f t="shared" si="32"/>
        <v>0</v>
      </c>
      <c r="N430" s="269">
        <f t="shared" si="33"/>
        <v>0.56999999999999995</v>
      </c>
    </row>
    <row r="431" spans="2:15" ht="20.100000000000001" customHeight="1">
      <c r="B431" s="260" t="s">
        <v>297</v>
      </c>
      <c r="D431" s="35" t="str">
        <f t="shared" si="29"/>
        <v>VIBRO ACABADORA ASFALTO B.GREENE</v>
      </c>
      <c r="E431" s="36"/>
      <c r="F431" s="36"/>
      <c r="G431" s="36"/>
      <c r="H431" s="37"/>
      <c r="I431" s="215">
        <v>1</v>
      </c>
      <c r="J431" s="38">
        <v>0.65</v>
      </c>
      <c r="K431" s="38">
        <f t="shared" si="30"/>
        <v>0.35</v>
      </c>
      <c r="L431" s="215">
        <f t="shared" si="31"/>
        <v>357.07</v>
      </c>
      <c r="M431" s="38">
        <f t="shared" si="32"/>
        <v>227.45358999999999</v>
      </c>
      <c r="N431" s="269">
        <f t="shared" si="33"/>
        <v>311.7</v>
      </c>
    </row>
    <row r="432" spans="2:15" ht="20.100000000000001" customHeight="1">
      <c r="B432" s="260" t="s">
        <v>262</v>
      </c>
      <c r="D432" s="35" t="str">
        <f t="shared" si="29"/>
        <v>CAMINHÃO BASCULANTE 10m3 - 15 T (170 KW)</v>
      </c>
      <c r="E432" s="36"/>
      <c r="F432" s="36"/>
      <c r="G432" s="36"/>
      <c r="H432" s="37"/>
      <c r="I432" s="224">
        <v>1.7</v>
      </c>
      <c r="J432" s="38">
        <v>0.65</v>
      </c>
      <c r="K432" s="38">
        <f t="shared" si="30"/>
        <v>0.35</v>
      </c>
      <c r="L432" s="215">
        <f t="shared" si="31"/>
        <v>135.83000000000001</v>
      </c>
      <c r="M432" s="38">
        <f t="shared" si="32"/>
        <v>20.47</v>
      </c>
      <c r="N432" s="269">
        <f t="shared" si="33"/>
        <v>162.27000000000001</v>
      </c>
    </row>
    <row r="433" spans="2:15" s="192" customFormat="1" ht="20.100000000000001" customHeight="1">
      <c r="B433" s="260"/>
      <c r="C433" s="198"/>
      <c r="D433" s="93"/>
      <c r="E433" s="94"/>
      <c r="F433" s="94"/>
      <c r="G433" s="94"/>
      <c r="H433" s="95"/>
      <c r="I433" s="215"/>
      <c r="J433" s="38"/>
      <c r="K433" s="38"/>
      <c r="L433" s="57"/>
      <c r="M433" s="39"/>
      <c r="N433" s="269"/>
      <c r="O433" s="390"/>
    </row>
    <row r="434" spans="2:15" s="192" customFormat="1" ht="20.100000000000001" customHeight="1">
      <c r="B434" s="198"/>
      <c r="C434" s="198"/>
      <c r="D434" s="40"/>
      <c r="E434" s="41"/>
      <c r="F434" s="41"/>
      <c r="G434" s="41"/>
      <c r="H434" s="41"/>
      <c r="I434" s="216"/>
      <c r="J434" s="41"/>
      <c r="K434" s="41"/>
      <c r="L434" s="216"/>
      <c r="M434" s="42" t="s">
        <v>89</v>
      </c>
      <c r="N434" s="270">
        <f>SUM(N427:N432)</f>
        <v>629.29</v>
      </c>
      <c r="O434" s="390"/>
    </row>
    <row r="435" spans="2:15" s="192" customFormat="1" ht="20.100000000000001" customHeight="1">
      <c r="B435" s="198"/>
      <c r="C435" s="198"/>
      <c r="D435" s="43"/>
      <c r="E435" s="44"/>
      <c r="F435" s="44"/>
      <c r="G435" s="45"/>
      <c r="H435" s="44"/>
      <c r="I435" s="217"/>
      <c r="J435" s="46"/>
      <c r="K435" s="47"/>
      <c r="L435" s="48"/>
      <c r="M435" s="48"/>
      <c r="N435" s="271"/>
      <c r="O435" s="390"/>
    </row>
    <row r="436" spans="2:15" s="192" customFormat="1" ht="20.100000000000001" customHeight="1">
      <c r="B436" s="198"/>
      <c r="C436" s="198"/>
      <c r="D436" s="518" t="s">
        <v>90</v>
      </c>
      <c r="E436" s="519"/>
      <c r="F436" s="519"/>
      <c r="G436" s="519"/>
      <c r="H436" s="519"/>
      <c r="I436" s="519"/>
      <c r="J436" s="513"/>
      <c r="K436" s="50" t="s">
        <v>91</v>
      </c>
      <c r="L436" s="51" t="s">
        <v>92</v>
      </c>
      <c r="M436" s="51" t="s">
        <v>93</v>
      </c>
      <c r="N436" s="272" t="s">
        <v>94</v>
      </c>
      <c r="O436" s="390"/>
    </row>
    <row r="437" spans="2:15" ht="20.100000000000001" customHeight="1">
      <c r="B437" s="260" t="s">
        <v>250</v>
      </c>
      <c r="D437" s="52" t="str">
        <f>IF(B437=0,0,VLOOKUP(B437,MO,2,FALSE))</f>
        <v>ENCARREGADO DE PAVIMENTAÇÃO</v>
      </c>
      <c r="E437" s="53"/>
      <c r="F437" s="53"/>
      <c r="G437" s="53"/>
      <c r="H437" s="53"/>
      <c r="I437" s="36"/>
      <c r="J437" s="54"/>
      <c r="K437" s="39"/>
      <c r="L437" s="55">
        <v>1</v>
      </c>
      <c r="M437" s="55">
        <f>IF(B437=0,0,VLOOKUP(B437,MO,6,FALSE))</f>
        <v>44.786799999999999</v>
      </c>
      <c r="N437" s="273">
        <f>ROUND(L437*M437,2)</f>
        <v>44.79</v>
      </c>
    </row>
    <row r="438" spans="2:15" ht="20.100000000000001" customHeight="1">
      <c r="B438" s="260" t="s">
        <v>248</v>
      </c>
      <c r="D438" s="52" t="str">
        <f>IF(B438=0,0,VLOOKUP(B438,MO,2,FALSE))</f>
        <v>SERVENTE</v>
      </c>
      <c r="E438" s="53"/>
      <c r="F438" s="53"/>
      <c r="G438" s="53"/>
      <c r="H438" s="53"/>
      <c r="I438" s="36"/>
      <c r="J438" s="54"/>
      <c r="K438" s="39"/>
      <c r="L438" s="55">
        <v>6</v>
      </c>
      <c r="M438" s="55">
        <f>IF(B438=0,0,VLOOKUP(B438,MO,6,FALSE))</f>
        <v>7.9973000000000001</v>
      </c>
      <c r="N438" s="273">
        <f>ROUND(L438*M438,2)</f>
        <v>47.98</v>
      </c>
    </row>
    <row r="439" spans="2:15" s="192" customFormat="1" ht="20.100000000000001" customHeight="1">
      <c r="B439" s="260"/>
      <c r="C439" s="198"/>
      <c r="D439" s="52" t="s">
        <v>122</v>
      </c>
      <c r="E439" s="53"/>
      <c r="F439" s="53"/>
      <c r="G439" s="53"/>
      <c r="H439" s="53"/>
      <c r="I439" s="36"/>
      <c r="J439" s="54"/>
      <c r="K439" s="56">
        <v>0</v>
      </c>
      <c r="L439" s="57">
        <f>N437+N438</f>
        <v>92.77</v>
      </c>
      <c r="M439" s="55"/>
      <c r="N439" s="445">
        <f>ROUND(L439*K439,2)</f>
        <v>0</v>
      </c>
      <c r="O439" s="390"/>
    </row>
    <row r="440" spans="2:15" s="192" customFormat="1" ht="20.100000000000001" customHeight="1">
      <c r="B440" s="198"/>
      <c r="C440" s="198"/>
      <c r="D440" s="58"/>
      <c r="E440" s="59"/>
      <c r="F440" s="60"/>
      <c r="G440" s="60"/>
      <c r="H440" s="44"/>
      <c r="I440" s="217"/>
      <c r="J440" s="61"/>
      <c r="K440" s="47"/>
      <c r="L440" s="48"/>
      <c r="M440" s="62" t="s">
        <v>98</v>
      </c>
      <c r="N440" s="270">
        <f>SUM(N437:N439)</f>
        <v>92.77</v>
      </c>
      <c r="O440" s="390"/>
    </row>
    <row r="441" spans="2:15" s="192" customFormat="1" ht="20.100000000000001" customHeight="1">
      <c r="B441" s="198"/>
      <c r="C441" s="198"/>
      <c r="D441" s="43"/>
      <c r="E441" s="44"/>
      <c r="F441" s="44"/>
      <c r="G441" s="44"/>
      <c r="H441" s="44"/>
      <c r="I441" s="217"/>
      <c r="J441" s="61"/>
      <c r="K441" s="47"/>
      <c r="L441" s="48"/>
      <c r="M441" s="48"/>
      <c r="N441" s="271"/>
      <c r="O441" s="390"/>
    </row>
    <row r="442" spans="2:15" s="192" customFormat="1" ht="20.100000000000001" customHeight="1">
      <c r="B442" s="198"/>
      <c r="C442" s="198"/>
      <c r="D442" s="40"/>
      <c r="E442" s="60"/>
      <c r="F442" s="60"/>
      <c r="G442" s="60"/>
      <c r="H442" s="63"/>
      <c r="I442" s="218"/>
      <c r="J442" s="63"/>
      <c r="K442" s="509" t="s">
        <v>99</v>
      </c>
      <c r="L442" s="510"/>
      <c r="M442" s="511"/>
      <c r="N442" s="275">
        <f>+N434+N440</f>
        <v>722.06</v>
      </c>
      <c r="O442" s="390"/>
    </row>
    <row r="443" spans="2:15" s="192" customFormat="1" ht="20.100000000000001" customHeight="1">
      <c r="B443" s="198"/>
      <c r="C443" s="198"/>
      <c r="D443" s="64"/>
      <c r="E443" s="44"/>
      <c r="F443" s="44"/>
      <c r="G443" s="45"/>
      <c r="H443" s="44"/>
      <c r="I443" s="217"/>
      <c r="J443" s="46"/>
      <c r="K443" s="47"/>
      <c r="L443" s="48"/>
      <c r="M443" s="48"/>
      <c r="N443" s="271"/>
      <c r="O443" s="390"/>
    </row>
    <row r="444" spans="2:15" s="192" customFormat="1" ht="20.100000000000001" customHeight="1">
      <c r="B444" s="198"/>
      <c r="C444" s="198"/>
      <c r="D444" s="58"/>
      <c r="E444" s="509" t="s">
        <v>100</v>
      </c>
      <c r="F444" s="510"/>
      <c r="G444" s="510"/>
      <c r="H444" s="511"/>
      <c r="I444" s="219">
        <v>75</v>
      </c>
      <c r="J444" s="48"/>
      <c r="K444" s="506" t="s">
        <v>101</v>
      </c>
      <c r="L444" s="507"/>
      <c r="M444" s="507"/>
      <c r="N444" s="276">
        <f>ROUND(N442/I444,2)</f>
        <v>9.6300000000000008</v>
      </c>
      <c r="O444" s="390"/>
    </row>
    <row r="445" spans="2:15" s="192" customFormat="1" ht="20.100000000000001" customHeight="1">
      <c r="B445" s="198"/>
      <c r="C445" s="198"/>
      <c r="D445" s="43"/>
      <c r="E445" s="44"/>
      <c r="F445" s="44"/>
      <c r="G445" s="65"/>
      <c r="H445" s="44"/>
      <c r="I445" s="48"/>
      <c r="J445" s="46"/>
      <c r="K445" s="46"/>
      <c r="L445" s="48"/>
      <c r="M445" s="46"/>
      <c r="N445" s="277"/>
      <c r="O445" s="390"/>
    </row>
    <row r="446" spans="2:15" s="192" customFormat="1" ht="20.100000000000001" customHeight="1">
      <c r="B446" s="198"/>
      <c r="C446" s="198"/>
      <c r="D446" s="49" t="s">
        <v>102</v>
      </c>
      <c r="E446" s="22"/>
      <c r="F446" s="22"/>
      <c r="G446" s="22"/>
      <c r="H446" s="22"/>
      <c r="I446" s="141"/>
      <c r="J446" s="23"/>
      <c r="K446" s="50" t="s">
        <v>103</v>
      </c>
      <c r="L446" s="51" t="s">
        <v>80</v>
      </c>
      <c r="M446" s="51" t="s">
        <v>104</v>
      </c>
      <c r="N446" s="272" t="s">
        <v>105</v>
      </c>
      <c r="O446" s="390"/>
    </row>
    <row r="447" spans="2:15" s="192" customFormat="1" ht="20.100000000000001" customHeight="1">
      <c r="B447" s="260" t="s">
        <v>306</v>
      </c>
      <c r="C447" s="198"/>
      <c r="D447" s="52" t="str">
        <f>IF(B447=0,0,VLOOKUP(B447,MAT,3,FALSE))</f>
        <v>CBUQ - USINAGEM</v>
      </c>
      <c r="E447" s="53"/>
      <c r="F447" s="53"/>
      <c r="G447" s="53"/>
      <c r="H447" s="53"/>
      <c r="I447" s="36"/>
      <c r="J447" s="54"/>
      <c r="K447" s="66" t="str">
        <f>IF(B447=0,0,VLOOKUP(B447,MAT,5,FALSE))</f>
        <v>T</v>
      </c>
      <c r="L447" s="67">
        <f>IF(B447=0,0,VLOOKUP(B447,MAT,6,FALSE))</f>
        <v>40.11</v>
      </c>
      <c r="M447" s="68">
        <v>1</v>
      </c>
      <c r="N447" s="273">
        <f>ROUND(L447*M447,2)</f>
        <v>40.11</v>
      </c>
      <c r="O447" s="390"/>
    </row>
    <row r="448" spans="2:15" s="192" customFormat="1" ht="20.100000000000001" customHeight="1">
      <c r="B448" s="260" t="s">
        <v>305</v>
      </c>
      <c r="C448" s="198"/>
      <c r="D448" s="52" t="str">
        <f>IF(B448=0,0,VLOOKUP(B448,MAT,3,FALSE))</f>
        <v>BRITA COMERCIAL</v>
      </c>
      <c r="E448" s="53"/>
      <c r="F448" s="53"/>
      <c r="G448" s="53"/>
      <c r="H448" s="53"/>
      <c r="I448" s="36"/>
      <c r="J448" s="54"/>
      <c r="K448" s="66" t="str">
        <f>IF(B448=0,0,VLOOKUP(B448,MAT,5,FALSE))</f>
        <v>M3</v>
      </c>
      <c r="L448" s="67">
        <f>IF(B448=0,0,VLOOKUP(B448,MAT,6,FALSE))</f>
        <v>30.630000000000003</v>
      </c>
      <c r="M448" s="68">
        <v>0.44700000000000001</v>
      </c>
      <c r="N448" s="278">
        <f>(L448*M448)</f>
        <v>13.691610000000001</v>
      </c>
      <c r="O448" s="390"/>
    </row>
    <row r="449" spans="2:16" s="192" customFormat="1" ht="20.100000000000001" customHeight="1">
      <c r="B449" s="260" t="s">
        <v>303</v>
      </c>
      <c r="C449" s="198"/>
      <c r="D449" s="52" t="str">
        <f>IF(B449=0,0,VLOOKUP(B449,MAT,3,FALSE))</f>
        <v xml:space="preserve">AREIA </v>
      </c>
      <c r="E449" s="53"/>
      <c r="F449" s="53"/>
      <c r="G449" s="53"/>
      <c r="H449" s="53"/>
      <c r="I449" s="36"/>
      <c r="J449" s="54"/>
      <c r="K449" s="66" t="str">
        <f>IF(B449=0,0,VLOOKUP(B449,MAT,5,FALSE))</f>
        <v>M3</v>
      </c>
      <c r="L449" s="67">
        <f>IF(B449=0,0,VLOOKUP(B449,MAT,6,FALSE))</f>
        <v>23.28</v>
      </c>
      <c r="M449" s="68">
        <v>0.161</v>
      </c>
      <c r="N449" s="278">
        <f>(L449*M449)</f>
        <v>3.7480800000000003</v>
      </c>
      <c r="O449" s="390"/>
    </row>
    <row r="450" spans="2:16" s="192" customFormat="1" ht="20.100000000000001" customHeight="1">
      <c r="B450" s="260"/>
      <c r="C450" s="198"/>
      <c r="D450" s="383">
        <f>IF(B450=0,0,VLOOKUP(B450,MAT,3,FALSE))</f>
        <v>0</v>
      </c>
      <c r="E450" s="384"/>
      <c r="F450" s="384"/>
      <c r="G450" s="384"/>
      <c r="H450" s="384"/>
      <c r="I450" s="384"/>
      <c r="J450" s="385"/>
      <c r="K450" s="386">
        <f>IF(B450=0,0,VLOOKUP(B450,MAT,5,FALSE))</f>
        <v>0</v>
      </c>
      <c r="L450" s="387">
        <f>IF(B450=0,0,VLOOKUP(B450,MAT,6,FALSE))</f>
        <v>0</v>
      </c>
      <c r="M450" s="68"/>
      <c r="N450" s="388">
        <f>(L450*M450)</f>
        <v>0</v>
      </c>
      <c r="O450" s="390"/>
    </row>
    <row r="451" spans="2:16" s="192" customFormat="1" ht="20.100000000000001" customHeight="1">
      <c r="B451" s="260"/>
      <c r="C451" s="198"/>
      <c r="D451" s="52"/>
      <c r="E451" s="53"/>
      <c r="F451" s="53"/>
      <c r="G451" s="53"/>
      <c r="H451" s="53"/>
      <c r="I451" s="36"/>
      <c r="J451" s="54"/>
      <c r="K451" s="66"/>
      <c r="L451" s="67"/>
      <c r="M451" s="75"/>
      <c r="N451" s="273"/>
      <c r="O451" s="390"/>
    </row>
    <row r="452" spans="2:16" s="192" customFormat="1" ht="20.100000000000001" customHeight="1">
      <c r="B452" s="198"/>
      <c r="C452" s="198"/>
      <c r="D452" s="43"/>
      <c r="E452" s="44"/>
      <c r="F452" s="44"/>
      <c r="G452" s="65"/>
      <c r="H452" s="44"/>
      <c r="I452" s="48"/>
      <c r="J452" s="46"/>
      <c r="K452" s="46"/>
      <c r="L452" s="48"/>
      <c r="M452" s="71" t="s">
        <v>106</v>
      </c>
      <c r="N452" s="270">
        <f>SUM(N447:N450)</f>
        <v>57.549689999999998</v>
      </c>
      <c r="O452" s="390"/>
    </row>
    <row r="453" spans="2:16" s="192" customFormat="1" ht="20.100000000000001" customHeight="1">
      <c r="B453" s="198"/>
      <c r="C453" s="198"/>
      <c r="D453" s="43"/>
      <c r="E453" s="44"/>
      <c r="F453" s="44"/>
      <c r="G453" s="65"/>
      <c r="H453" s="44"/>
      <c r="I453" s="48"/>
      <c r="J453" s="46"/>
      <c r="K453" s="46"/>
      <c r="L453" s="48"/>
      <c r="M453" s="46"/>
      <c r="N453" s="277"/>
      <c r="O453" s="390"/>
    </row>
    <row r="454" spans="2:16" ht="20.100000000000001" customHeight="1">
      <c r="D454" s="527" t="s">
        <v>107</v>
      </c>
      <c r="E454" s="72" t="s">
        <v>2</v>
      </c>
      <c r="F454" s="73"/>
      <c r="G454" s="73"/>
      <c r="H454" s="74"/>
      <c r="I454" s="498" t="s">
        <v>108</v>
      </c>
      <c r="J454" s="499"/>
      <c r="K454" s="531" t="s">
        <v>103</v>
      </c>
      <c r="L454" s="514" t="s">
        <v>80</v>
      </c>
      <c r="M454" s="531" t="s">
        <v>109</v>
      </c>
      <c r="N454" s="529" t="s">
        <v>105</v>
      </c>
    </row>
    <row r="455" spans="2:16" ht="20.100000000000001" customHeight="1">
      <c r="D455" s="528"/>
      <c r="E455" s="512" t="s">
        <v>127</v>
      </c>
      <c r="F455" s="513"/>
      <c r="G455" s="512" t="s">
        <v>111</v>
      </c>
      <c r="H455" s="513"/>
      <c r="I455" s="500"/>
      <c r="J455" s="501"/>
      <c r="K455" s="532"/>
      <c r="L455" s="515"/>
      <c r="M455" s="532"/>
      <c r="N455" s="530"/>
    </row>
    <row r="456" spans="2:16" s="192" customFormat="1" ht="20.100000000000001" customHeight="1">
      <c r="B456" s="260" t="s">
        <v>331</v>
      </c>
      <c r="C456" s="198"/>
      <c r="D456" s="261" t="str">
        <f>IF(B456=0,0,VLOOKUP(B456,TRANS,3,FALSE))</f>
        <v xml:space="preserve">CBUQ </v>
      </c>
      <c r="E456" s="504">
        <f>IF(B456=0,0,VLOOKUP(B456,TRANS,5,FALSE))</f>
        <v>0.37</v>
      </c>
      <c r="F456" s="505"/>
      <c r="G456" s="553"/>
      <c r="H456" s="554"/>
      <c r="I456" s="504">
        <f>IF(B456=0,0,VLOOKUP(B456,TRANS,6,FALSE))</f>
        <v>25</v>
      </c>
      <c r="J456" s="505"/>
      <c r="K456" s="66" t="str">
        <f>IF(B456=0,0,VLOOKUP(B456,TRANS,4,FALSE))</f>
        <v>T.KM</v>
      </c>
      <c r="L456" s="67">
        <f>E456*I456</f>
        <v>9.25</v>
      </c>
      <c r="M456" s="68">
        <f>M447</f>
        <v>1</v>
      </c>
      <c r="N456" s="273">
        <f>ROUND(L456*M456,2)</f>
        <v>9.25</v>
      </c>
      <c r="O456" s="390"/>
    </row>
    <row r="457" spans="2:16" s="192" customFormat="1" ht="20.100000000000001" customHeight="1">
      <c r="B457" s="260" t="s">
        <v>328</v>
      </c>
      <c r="C457" s="198"/>
      <c r="D457" s="261" t="str">
        <f>IF(B457=0,0,VLOOKUP(B457,TRANS,3,FALSE))</f>
        <v>BRITA ( PED - USINA )</v>
      </c>
      <c r="E457" s="504">
        <f>IF(B457=0,0,VLOOKUP(B457,TRANS,5,FALSE))</f>
        <v>0.33</v>
      </c>
      <c r="F457" s="505"/>
      <c r="G457" s="502"/>
      <c r="H457" s="503"/>
      <c r="I457" s="504">
        <f>IF(B457=0,0,VLOOKUP(B457,TRANS,6,FALSE))</f>
        <v>1</v>
      </c>
      <c r="J457" s="505"/>
      <c r="K457" s="66" t="str">
        <f>IF(B457=0,0,VLOOKUP(B457,TRANS,4,FALSE))</f>
        <v>T.KM</v>
      </c>
      <c r="L457" s="67">
        <f>(E457*I457)+H457</f>
        <v>0.33</v>
      </c>
      <c r="M457" s="409">
        <v>0.70799999999999996</v>
      </c>
      <c r="N457" s="278">
        <f>(L457*M457)</f>
        <v>0.23363999999999999</v>
      </c>
      <c r="O457" s="391">
        <f>M457+M458+M459+M468</f>
        <v>1</v>
      </c>
      <c r="P457" s="192" t="s">
        <v>540</v>
      </c>
    </row>
    <row r="458" spans="2:16" s="192" customFormat="1" ht="20.100000000000001" customHeight="1">
      <c r="B458" s="260" t="s">
        <v>326</v>
      </c>
      <c r="C458" s="198"/>
      <c r="D458" s="261" t="str">
        <f>IF(B458=0,0,VLOOKUP(B458,TRANS,3,FALSE))</f>
        <v>AREIA ( AREAL - USINA )</v>
      </c>
      <c r="E458" s="504">
        <f>IF(B458=0,0,VLOOKUP(B458,TRANS,5,FALSE))</f>
        <v>0.33</v>
      </c>
      <c r="F458" s="505"/>
      <c r="G458" s="545"/>
      <c r="H458" s="546"/>
      <c r="I458" s="504">
        <f>IF(B458=0,0,VLOOKUP(B458,TRANS,6,FALSE))</f>
        <v>65.06</v>
      </c>
      <c r="J458" s="505"/>
      <c r="K458" s="66" t="str">
        <f>IF(B458=0,0,VLOOKUP(B458,TRANS,4,FALSE))</f>
        <v>T.KM</v>
      </c>
      <c r="L458" s="67">
        <f>(E458*I458)+H458</f>
        <v>21.469800000000003</v>
      </c>
      <c r="M458" s="409">
        <v>0.24199999999999999</v>
      </c>
      <c r="N458" s="278">
        <f>(L458*M458)</f>
        <v>5.1956916000000009</v>
      </c>
      <c r="O458" s="390"/>
    </row>
    <row r="459" spans="2:16" s="192" customFormat="1" ht="20.100000000000001" customHeight="1">
      <c r="B459" s="260"/>
      <c r="C459" s="198"/>
      <c r="D459" s="261">
        <f>IF(B459=0,0,VLOOKUP(B459,TRANS,3,FALSE))</f>
        <v>0</v>
      </c>
      <c r="E459" s="504">
        <f>IF(B459=0,0,VLOOKUP(B459,TRANS,5,FALSE))</f>
        <v>0</v>
      </c>
      <c r="F459" s="505"/>
      <c r="G459" s="545"/>
      <c r="H459" s="546"/>
      <c r="I459" s="504"/>
      <c r="J459" s="505"/>
      <c r="K459" s="262">
        <f>IF(B459=0,0,VLOOKUP(B459,TRANS,4,FALSE))</f>
        <v>0</v>
      </c>
      <c r="L459" s="67"/>
      <c r="M459" s="413"/>
      <c r="N459" s="317">
        <f>L459*M459</f>
        <v>0</v>
      </c>
      <c r="O459" s="390"/>
    </row>
    <row r="460" spans="2:16" s="192" customFormat="1" ht="20.100000000000001" customHeight="1">
      <c r="B460" s="198"/>
      <c r="C460" s="198"/>
      <c r="D460" s="98"/>
      <c r="E460" s="99"/>
      <c r="F460" s="44"/>
      <c r="G460" s="65"/>
      <c r="H460" s="44"/>
      <c r="I460" s="48"/>
      <c r="J460" s="46"/>
      <c r="K460" s="46"/>
      <c r="L460" s="48"/>
      <c r="M460" s="71" t="s">
        <v>112</v>
      </c>
      <c r="N460" s="270">
        <f>SUM(N456:N459)</f>
        <v>14.679331600000001</v>
      </c>
      <c r="O460" s="390"/>
    </row>
    <row r="461" spans="2:16" s="192" customFormat="1" ht="20.100000000000001" customHeight="1">
      <c r="B461" s="198"/>
      <c r="C461" s="198"/>
      <c r="D461" s="98"/>
      <c r="E461" s="99"/>
      <c r="F461" s="44"/>
      <c r="G461" s="65"/>
      <c r="H461" s="44"/>
      <c r="I461" s="48"/>
      <c r="J461" s="46"/>
      <c r="K461" s="46"/>
      <c r="L461" s="48"/>
      <c r="M461" s="100"/>
      <c r="N461" s="282"/>
      <c r="O461" s="390"/>
    </row>
    <row r="462" spans="2:16" s="192" customFormat="1" ht="20.100000000000001" customHeight="1">
      <c r="B462" s="198"/>
      <c r="C462" s="198"/>
      <c r="D462" s="98"/>
      <c r="E462" s="99"/>
      <c r="F462" s="44"/>
      <c r="G462" s="65"/>
      <c r="H462" s="44"/>
      <c r="I462" s="48"/>
      <c r="J462" s="46"/>
      <c r="K462" s="565" t="s">
        <v>129</v>
      </c>
      <c r="L462" s="566"/>
      <c r="M462" s="567"/>
      <c r="N462" s="279">
        <f>+N444+N452+N460</f>
        <v>81.859021599999991</v>
      </c>
      <c r="O462" s="390"/>
    </row>
    <row r="463" spans="2:16" s="192" customFormat="1" ht="20.100000000000001" customHeight="1">
      <c r="B463" s="198"/>
      <c r="C463" s="198"/>
      <c r="D463" s="98"/>
      <c r="E463" s="99"/>
      <c r="F463" s="44"/>
      <c r="G463" s="65"/>
      <c r="H463" s="44"/>
      <c r="I463" s="48"/>
      <c r="J463" s="46"/>
      <c r="K463" s="81" t="s">
        <v>115</v>
      </c>
      <c r="L463" s="359">
        <f>DI</f>
        <v>0.26700000000000002</v>
      </c>
      <c r="M463" s="83"/>
      <c r="N463" s="279">
        <f>L463*N462</f>
        <v>21.8563587672</v>
      </c>
      <c r="O463" s="390"/>
    </row>
    <row r="464" spans="2:16" s="192" customFormat="1" ht="20.100000000000001" customHeight="1" thickBot="1">
      <c r="B464" s="198"/>
      <c r="C464" s="198"/>
      <c r="D464" s="102"/>
      <c r="E464" s="103"/>
      <c r="F464" s="104"/>
      <c r="G464" s="105"/>
      <c r="H464" s="104"/>
      <c r="I464" s="225"/>
      <c r="J464" s="85"/>
      <c r="K464" s="86" t="s">
        <v>130</v>
      </c>
      <c r="L464" s="280"/>
      <c r="M464" s="89"/>
      <c r="N464" s="281">
        <f>N462+N463</f>
        <v>103.7153803672</v>
      </c>
      <c r="O464" s="390"/>
    </row>
    <row r="465" spans="2:15" s="192" customFormat="1" ht="20.100000000000001" customHeight="1">
      <c r="B465" s="198"/>
      <c r="C465" s="198"/>
      <c r="D465" s="106"/>
      <c r="E465" s="107"/>
      <c r="F465" s="108"/>
      <c r="G465" s="109"/>
      <c r="H465" s="108"/>
      <c r="I465" s="226"/>
      <c r="J465" s="110"/>
      <c r="K465" s="111"/>
      <c r="L465" s="284"/>
      <c r="M465" s="111"/>
      <c r="N465" s="285"/>
      <c r="O465" s="390"/>
    </row>
    <row r="466" spans="2:15" s="192" customFormat="1" ht="20.100000000000001" customHeight="1" thickBot="1">
      <c r="B466" s="198"/>
      <c r="C466" s="198"/>
      <c r="D466" s="102"/>
      <c r="E466" s="103"/>
      <c r="F466" s="104"/>
      <c r="G466" s="105"/>
      <c r="H466" s="104"/>
      <c r="I466" s="225"/>
      <c r="J466" s="85"/>
      <c r="K466" s="112"/>
      <c r="L466" s="286"/>
      <c r="M466" s="112"/>
      <c r="N466" s="287"/>
      <c r="O466" s="390"/>
    </row>
    <row r="467" spans="2:15" s="192" customFormat="1" ht="20.100000000000001" customHeight="1">
      <c r="B467" s="198"/>
      <c r="C467" s="198"/>
      <c r="D467" s="571" t="s">
        <v>131</v>
      </c>
      <c r="E467" s="572"/>
      <c r="F467" s="572"/>
      <c r="G467" s="572"/>
      <c r="H467" s="572"/>
      <c r="I467" s="572"/>
      <c r="J467" s="573"/>
      <c r="K467" s="113" t="s">
        <v>103</v>
      </c>
      <c r="L467" s="34" t="s">
        <v>80</v>
      </c>
      <c r="M467" s="34" t="s">
        <v>104</v>
      </c>
      <c r="N467" s="288" t="s">
        <v>105</v>
      </c>
      <c r="O467" s="390"/>
    </row>
    <row r="468" spans="2:15" s="192" customFormat="1" ht="20.100000000000001" customHeight="1">
      <c r="B468" s="260" t="s">
        <v>357</v>
      </c>
      <c r="C468" s="198"/>
      <c r="D468" s="264" t="str">
        <f>IF(B468=0,0,VLOOKUP(B468,MAT_BET,3,FALSE))</f>
        <v>AQUISIÇÃO CAP -20</v>
      </c>
      <c r="E468" s="265"/>
      <c r="F468" s="265"/>
      <c r="G468" s="265"/>
      <c r="H468" s="265"/>
      <c r="I468" s="265"/>
      <c r="J468" s="266"/>
      <c r="K468" s="262" t="str">
        <f>IF(B468=0,0,VLOOKUP(B468,MAT_BET,4,FALSE))</f>
        <v>T</v>
      </c>
      <c r="L468" s="67">
        <f>IF(B468=0,0,VLOOKUP(B468,MAT_BET,5,FALSE))</f>
        <v>1132</v>
      </c>
      <c r="M468" s="409">
        <v>0.05</v>
      </c>
      <c r="N468" s="273">
        <f>ROUND(L468*M468,2)</f>
        <v>56.6</v>
      </c>
      <c r="O468" s="390" t="s">
        <v>541</v>
      </c>
    </row>
    <row r="469" spans="2:15" s="192" customFormat="1" ht="20.100000000000001" customHeight="1">
      <c r="B469" s="198"/>
      <c r="C469" s="198"/>
      <c r="D469" s="114"/>
      <c r="E469" s="59"/>
      <c r="F469" s="59"/>
      <c r="G469" s="59"/>
      <c r="H469" s="59"/>
      <c r="I469" s="91"/>
      <c r="J469" s="115"/>
      <c r="K469" s="81" t="s">
        <v>115</v>
      </c>
      <c r="L469" s="359">
        <f>DI</f>
        <v>0.26700000000000002</v>
      </c>
      <c r="M469" s="83"/>
      <c r="N469" s="279">
        <f>L469*N468</f>
        <v>15.112200000000001</v>
      </c>
      <c r="O469" s="390"/>
    </row>
    <row r="470" spans="2:15" s="192" customFormat="1" ht="20.100000000000001" customHeight="1">
      <c r="B470" s="198"/>
      <c r="C470" s="198"/>
      <c r="D470" s="76"/>
      <c r="E470" s="77"/>
      <c r="F470" s="77"/>
      <c r="G470" s="77"/>
      <c r="H470" s="77"/>
      <c r="I470" s="156"/>
      <c r="J470" s="116"/>
      <c r="K470" s="81" t="s">
        <v>132</v>
      </c>
      <c r="L470" s="289"/>
      <c r="M470" s="83"/>
      <c r="N470" s="279">
        <f>N468+N469</f>
        <v>71.712199999999996</v>
      </c>
      <c r="O470" s="390"/>
    </row>
    <row r="471" spans="2:15" s="192" customFormat="1" ht="20.100000000000001" customHeight="1">
      <c r="B471" s="198"/>
      <c r="C471" s="198"/>
      <c r="D471" s="117"/>
      <c r="E471" s="118"/>
      <c r="F471" s="118"/>
      <c r="G471" s="118"/>
      <c r="H471" s="118"/>
      <c r="I471" s="94"/>
      <c r="J471" s="119"/>
      <c r="K471" s="113" t="s">
        <v>103</v>
      </c>
      <c r="L471" s="34" t="s">
        <v>80</v>
      </c>
      <c r="M471" s="34" t="s">
        <v>104</v>
      </c>
      <c r="N471" s="288" t="s">
        <v>105</v>
      </c>
      <c r="O471" s="390"/>
    </row>
    <row r="472" spans="2:15" s="192" customFormat="1" ht="20.100000000000001" customHeight="1">
      <c r="B472" s="260" t="s">
        <v>363</v>
      </c>
      <c r="C472" s="198"/>
      <c r="D472" s="264" t="str">
        <f>IF(B472=0,0,VLOOKUP(B472,MAT_BET,3,FALSE))</f>
        <v>TRANSPORTE CAP - 20</v>
      </c>
      <c r="E472" s="265"/>
      <c r="F472" s="265"/>
      <c r="G472" s="265"/>
      <c r="H472" s="265"/>
      <c r="I472" s="265"/>
      <c r="J472" s="266"/>
      <c r="K472" s="262" t="str">
        <f>IF(B472=0,0,VLOOKUP(B472,MAT_BET,4,FALSE))</f>
        <v>T</v>
      </c>
      <c r="L472" s="67">
        <f>IF(B472=0,0,VLOOKUP(B472,MAT_BET,5,FALSE))</f>
        <v>230.69</v>
      </c>
      <c r="M472" s="409">
        <v>0.05</v>
      </c>
      <c r="N472" s="278">
        <f>(L472*M472)</f>
        <v>11.534500000000001</v>
      </c>
      <c r="O472" s="390"/>
    </row>
    <row r="473" spans="2:15" s="192" customFormat="1" ht="20.100000000000001" customHeight="1">
      <c r="B473" s="198"/>
      <c r="C473" s="198"/>
      <c r="D473" s="114"/>
      <c r="E473" s="59"/>
      <c r="F473" s="59"/>
      <c r="G473" s="59"/>
      <c r="H473" s="59"/>
      <c r="I473" s="91"/>
      <c r="J473" s="115"/>
      <c r="K473" s="81" t="s">
        <v>115</v>
      </c>
      <c r="L473" s="359">
        <f>DI</f>
        <v>0.26700000000000002</v>
      </c>
      <c r="M473" s="83"/>
      <c r="N473" s="279">
        <f>L473*N472</f>
        <v>3.0797115000000006</v>
      </c>
      <c r="O473" s="390"/>
    </row>
    <row r="474" spans="2:15" s="192" customFormat="1" ht="20.100000000000001" customHeight="1" thickBot="1">
      <c r="B474" s="198"/>
      <c r="C474" s="198"/>
      <c r="D474" s="76"/>
      <c r="E474" s="77"/>
      <c r="F474" s="77"/>
      <c r="G474" s="77"/>
      <c r="H474" s="77"/>
      <c r="I474" s="156"/>
      <c r="J474" s="116"/>
      <c r="K474" s="97" t="s">
        <v>133</v>
      </c>
      <c r="L474" s="290"/>
      <c r="M474" s="120"/>
      <c r="N474" s="291">
        <f>N472+N473</f>
        <v>14.614211500000001</v>
      </c>
      <c r="O474" s="390"/>
    </row>
    <row r="475" spans="2:15" s="192" customFormat="1" ht="20.100000000000001" customHeight="1" thickBot="1">
      <c r="B475" s="198"/>
      <c r="C475" s="198"/>
      <c r="D475" s="121"/>
      <c r="E475" s="122"/>
      <c r="F475" s="122"/>
      <c r="G475" s="123"/>
      <c r="H475" s="122"/>
      <c r="I475" s="227"/>
      <c r="J475" s="124"/>
      <c r="K475" s="549" t="s">
        <v>134</v>
      </c>
      <c r="L475" s="549"/>
      <c r="M475" s="550"/>
      <c r="N475" s="292">
        <f>N470+N474</f>
        <v>86.326411499999992</v>
      </c>
      <c r="O475" s="390"/>
    </row>
    <row r="476" spans="2:15" s="192" customFormat="1" ht="20.100000000000001" customHeight="1" thickBot="1">
      <c r="B476" s="198"/>
      <c r="C476" s="198"/>
      <c r="D476" s="43"/>
      <c r="E476" s="44"/>
      <c r="F476" s="44"/>
      <c r="G476" s="65"/>
      <c r="H476" s="44"/>
      <c r="I476" s="48"/>
      <c r="J476" s="46"/>
      <c r="K476" s="125"/>
      <c r="L476" s="293"/>
      <c r="M476" s="125"/>
      <c r="N476" s="282"/>
      <c r="O476" s="390"/>
    </row>
    <row r="477" spans="2:15" ht="20.100000000000001" customHeight="1">
      <c r="D477" s="126"/>
      <c r="E477" s="108"/>
      <c r="F477" s="108"/>
      <c r="G477" s="109"/>
      <c r="H477" s="108"/>
      <c r="I477" s="228" t="s">
        <v>114</v>
      </c>
      <c r="J477" s="128"/>
      <c r="K477" s="128"/>
      <c r="L477" s="354">
        <v>0.02</v>
      </c>
      <c r="M477" s="129"/>
      <c r="N477" s="294">
        <f>(N462+N468+N472)*L477</f>
        <v>2.9998704320000003</v>
      </c>
    </row>
    <row r="478" spans="2:15" ht="20.100000000000001" customHeight="1">
      <c r="D478" s="43"/>
      <c r="E478" s="44"/>
      <c r="F478" s="44"/>
      <c r="G478" s="65"/>
      <c r="H478" s="44"/>
      <c r="I478" s="563" t="s">
        <v>135</v>
      </c>
      <c r="J478" s="564"/>
      <c r="K478" s="564"/>
      <c r="L478" s="564"/>
      <c r="M478" s="125"/>
      <c r="N478" s="282">
        <f>N462+N468+N472+N477</f>
        <v>152.993392032</v>
      </c>
    </row>
    <row r="479" spans="2:15" ht="20.100000000000001" customHeight="1" thickBot="1">
      <c r="D479" s="130"/>
      <c r="E479" s="104"/>
      <c r="F479" s="104"/>
      <c r="G479" s="105"/>
      <c r="H479" s="104"/>
      <c r="I479" s="537" t="s">
        <v>136</v>
      </c>
      <c r="J479" s="538"/>
      <c r="K479" s="538"/>
      <c r="L479" s="538"/>
      <c r="M479" s="131"/>
      <c r="N479" s="295">
        <f>N478*2.4</f>
        <v>367.18414087679997</v>
      </c>
    </row>
    <row r="480" spans="2:15" ht="20.100000000000001" customHeight="1" thickBot="1">
      <c r="D480" s="98"/>
      <c r="E480" s="99"/>
      <c r="F480" s="44"/>
      <c r="G480" s="65"/>
      <c r="H480" s="44"/>
      <c r="I480" s="48"/>
      <c r="J480" s="46"/>
      <c r="K480" s="46"/>
      <c r="L480" s="48"/>
      <c r="M480" s="100"/>
      <c r="N480" s="282"/>
    </row>
    <row r="481" spans="2:14" ht="20.100000000000001" customHeight="1">
      <c r="D481" s="133"/>
      <c r="E481" s="134"/>
      <c r="F481" s="134"/>
      <c r="G481" s="134"/>
      <c r="H481" s="134"/>
      <c r="I481" s="229" t="s">
        <v>137</v>
      </c>
      <c r="J481" s="135"/>
      <c r="K481" s="135"/>
      <c r="L481" s="354">
        <f>DI</f>
        <v>0.26700000000000002</v>
      </c>
      <c r="M481" s="136"/>
      <c r="N481" s="294">
        <f>(N478*L469)+N478</f>
        <v>193.84262770454401</v>
      </c>
    </row>
    <row r="482" spans="2:14" ht="20.100000000000001" customHeight="1" thickBot="1">
      <c r="D482" s="137"/>
      <c r="E482" s="138"/>
      <c r="F482" s="138"/>
      <c r="G482" s="138"/>
      <c r="H482" s="138"/>
      <c r="I482" s="230" t="s">
        <v>138</v>
      </c>
      <c r="J482" s="139"/>
      <c r="K482" s="139"/>
      <c r="L482" s="358">
        <f>DI</f>
        <v>0.26700000000000002</v>
      </c>
      <c r="M482" s="140"/>
      <c r="N482" s="295">
        <f>N481*2.4</f>
        <v>465.22230649090562</v>
      </c>
    </row>
    <row r="485" spans="2:14" ht="20.100000000000001" customHeight="1" thickBot="1"/>
    <row r="486" spans="2:14" ht="20.100000000000001" customHeight="1">
      <c r="B486" s="197" t="s">
        <v>192</v>
      </c>
      <c r="D486" s="520" t="s">
        <v>232</v>
      </c>
      <c r="E486" s="521"/>
      <c r="F486" s="542" t="s">
        <v>74</v>
      </c>
      <c r="G486" s="543"/>
      <c r="H486" s="543"/>
      <c r="I486" s="543"/>
      <c r="J486" s="543"/>
      <c r="K486" s="543"/>
      <c r="L486" s="544"/>
      <c r="M486" s="19" t="s">
        <v>75</v>
      </c>
      <c r="N486" s="20" t="s">
        <v>76</v>
      </c>
    </row>
    <row r="487" spans="2:14" ht="20.100000000000001" customHeight="1">
      <c r="D487" s="522"/>
      <c r="E487" s="523"/>
      <c r="F487" s="512" t="str">
        <f>VLOOKUP(B486,Resumo_Composições,3,FALSE)</f>
        <v>PMQ - PRÉ MISTURADO A QUENTE</v>
      </c>
      <c r="G487" s="519"/>
      <c r="H487" s="519"/>
      <c r="I487" s="519"/>
      <c r="J487" s="519"/>
      <c r="K487" s="519"/>
      <c r="L487" s="513"/>
      <c r="M487" s="24" t="str">
        <f>VLOOKUP(B486,Resumo_Composições,4,FALSE)</f>
        <v>M3</v>
      </c>
      <c r="N487" s="25">
        <f>DATA</f>
        <v>41214</v>
      </c>
    </row>
    <row r="488" spans="2:14" ht="20.100000000000001" customHeight="1">
      <c r="D488" s="26" t="s">
        <v>77</v>
      </c>
      <c r="E488" s="27"/>
      <c r="F488" s="27"/>
      <c r="G488" s="27"/>
      <c r="H488" s="28"/>
      <c r="I488" s="214" t="s">
        <v>78</v>
      </c>
      <c r="J488" s="535" t="s">
        <v>79</v>
      </c>
      <c r="K488" s="536"/>
      <c r="L488" s="535" t="s">
        <v>80</v>
      </c>
      <c r="M488" s="536"/>
      <c r="N488" s="516" t="s">
        <v>81</v>
      </c>
    </row>
    <row r="489" spans="2:14" ht="20.100000000000001" customHeight="1">
      <c r="D489" s="31"/>
      <c r="E489" s="32"/>
      <c r="F489" s="32"/>
      <c r="G489" s="32"/>
      <c r="H489" s="33"/>
      <c r="I489" s="34"/>
      <c r="J489" s="51" t="s">
        <v>82</v>
      </c>
      <c r="K489" s="51" t="s">
        <v>83</v>
      </c>
      <c r="L489" s="51" t="s">
        <v>82</v>
      </c>
      <c r="M489" s="51" t="s">
        <v>84</v>
      </c>
      <c r="N489" s="517"/>
    </row>
    <row r="490" spans="2:14" ht="20.100000000000001" customHeight="1">
      <c r="B490" s="260" t="s">
        <v>292</v>
      </c>
      <c r="D490" s="35" t="str">
        <f t="shared" ref="D490:D495" si="34">IF(B490=0,0,VLOOKUP(B490,EQUIP,3,FALSE))</f>
        <v>TRATOR AGRICOLA (77 KW)</v>
      </c>
      <c r="E490" s="91"/>
      <c r="F490" s="91"/>
      <c r="G490" s="91"/>
      <c r="H490" s="92"/>
      <c r="I490" s="215">
        <v>1</v>
      </c>
      <c r="J490" s="38">
        <v>0.15</v>
      </c>
      <c r="K490" s="38">
        <v>0.85</v>
      </c>
      <c r="L490" s="215">
        <f t="shared" ref="L490:L495" si="35">IF(B490=0,0,VLOOKUP(B490,EQUIP,6,FALSE))</f>
        <v>65.799899999999994</v>
      </c>
      <c r="M490" s="38">
        <f t="shared" ref="M490:M495" si="36">IF(B490=0,0,VLOOKUP(B490,EQUIP,7,FALSE))</f>
        <v>17.27</v>
      </c>
      <c r="N490" s="269">
        <f t="shared" ref="N490:N495" si="37">ROUND(I490*J490*L490+I490*K490*M490,2)</f>
        <v>24.55</v>
      </c>
    </row>
    <row r="491" spans="2:14" ht="20.100000000000001" customHeight="1">
      <c r="B491" s="260" t="s">
        <v>288</v>
      </c>
      <c r="D491" s="35" t="str">
        <f t="shared" si="34"/>
        <v>ROLO COMPACTADOR TANDEM VIBRAT. AUTOPROPO. 10,9 T (112 KW)</v>
      </c>
      <c r="E491" s="91"/>
      <c r="F491" s="91"/>
      <c r="G491" s="91"/>
      <c r="H491" s="92"/>
      <c r="I491" s="224">
        <v>1</v>
      </c>
      <c r="J491" s="38">
        <v>0.55000000000000004</v>
      </c>
      <c r="K491" s="38">
        <v>0.45</v>
      </c>
      <c r="L491" s="215">
        <f t="shared" si="35"/>
        <v>112.07</v>
      </c>
      <c r="M491" s="38">
        <f t="shared" si="36"/>
        <v>17.27</v>
      </c>
      <c r="N491" s="269">
        <f t="shared" si="37"/>
        <v>69.41</v>
      </c>
    </row>
    <row r="492" spans="2:14" ht="20.100000000000001" customHeight="1">
      <c r="B492" s="260" t="s">
        <v>284</v>
      </c>
      <c r="D492" s="35" t="str">
        <f t="shared" si="34"/>
        <v>ROLO COMPACTADOR - DE PNEUS AUTOPROPELIDO 21 t (97kW)</v>
      </c>
      <c r="E492" s="91"/>
      <c r="F492" s="91"/>
      <c r="G492" s="91"/>
      <c r="H492" s="92"/>
      <c r="I492" s="224">
        <v>1</v>
      </c>
      <c r="J492" s="38">
        <v>0.55000000000000004</v>
      </c>
      <c r="K492" s="38">
        <v>0.45</v>
      </c>
      <c r="L492" s="215">
        <f t="shared" si="35"/>
        <v>96.39</v>
      </c>
      <c r="M492" s="38">
        <f t="shared" si="36"/>
        <v>17.27</v>
      </c>
      <c r="N492" s="269">
        <f t="shared" si="37"/>
        <v>60.79</v>
      </c>
    </row>
    <row r="493" spans="2:14" ht="20.100000000000001" customHeight="1">
      <c r="B493" s="260" t="s">
        <v>296</v>
      </c>
      <c r="D493" s="35" t="str">
        <f t="shared" si="34"/>
        <v>VASSOURA MECÂNICA REBOCÁVEL</v>
      </c>
      <c r="E493" s="36"/>
      <c r="F493" s="36"/>
      <c r="G493" s="36"/>
      <c r="H493" s="37"/>
      <c r="I493" s="215">
        <v>1</v>
      </c>
      <c r="J493" s="38">
        <v>0.15</v>
      </c>
      <c r="K493" s="38">
        <v>0.85</v>
      </c>
      <c r="L493" s="215">
        <f t="shared" si="35"/>
        <v>3.83</v>
      </c>
      <c r="M493" s="38">
        <f t="shared" si="36"/>
        <v>0</v>
      </c>
      <c r="N493" s="269">
        <f t="shared" si="37"/>
        <v>0.56999999999999995</v>
      </c>
    </row>
    <row r="494" spans="2:14" ht="20.100000000000001" customHeight="1">
      <c r="B494" s="260" t="s">
        <v>297</v>
      </c>
      <c r="D494" s="35" t="str">
        <f t="shared" si="34"/>
        <v>VIBRO ACABADORA ASFALTO B.GREENE</v>
      </c>
      <c r="E494" s="36"/>
      <c r="F494" s="36"/>
      <c r="G494" s="36"/>
      <c r="H494" s="37"/>
      <c r="I494" s="215">
        <v>1</v>
      </c>
      <c r="J494" s="38">
        <v>0.65</v>
      </c>
      <c r="K494" s="38">
        <v>0.35</v>
      </c>
      <c r="L494" s="215">
        <f t="shared" si="35"/>
        <v>357.07</v>
      </c>
      <c r="M494" s="38">
        <f t="shared" si="36"/>
        <v>227.45358999999999</v>
      </c>
      <c r="N494" s="269">
        <f t="shared" si="37"/>
        <v>311.7</v>
      </c>
    </row>
    <row r="495" spans="2:14" ht="20.100000000000001" customHeight="1">
      <c r="B495" s="260" t="s">
        <v>262</v>
      </c>
      <c r="D495" s="35" t="str">
        <f t="shared" si="34"/>
        <v>CAMINHÃO BASCULANTE 10m3 - 15 T (170 KW)</v>
      </c>
      <c r="E495" s="36"/>
      <c r="F495" s="36"/>
      <c r="G495" s="36"/>
      <c r="H495" s="37"/>
      <c r="I495" s="224">
        <v>1.7</v>
      </c>
      <c r="J495" s="38">
        <v>0.65</v>
      </c>
      <c r="K495" s="38">
        <v>0.35</v>
      </c>
      <c r="L495" s="215">
        <f t="shared" si="35"/>
        <v>135.83000000000001</v>
      </c>
      <c r="M495" s="38">
        <f t="shared" si="36"/>
        <v>20.47</v>
      </c>
      <c r="N495" s="269">
        <f t="shared" si="37"/>
        <v>162.27000000000001</v>
      </c>
    </row>
    <row r="496" spans="2:14" ht="20.100000000000001" customHeight="1">
      <c r="B496" s="260"/>
      <c r="D496" s="93"/>
      <c r="E496" s="94"/>
      <c r="F496" s="94"/>
      <c r="G496" s="94"/>
      <c r="H496" s="95"/>
      <c r="I496" s="215"/>
      <c r="J496" s="38"/>
      <c r="K496" s="38"/>
      <c r="L496" s="57"/>
      <c r="M496" s="39"/>
      <c r="N496" s="269"/>
    </row>
    <row r="497" spans="2:14" ht="20.100000000000001" customHeight="1">
      <c r="D497" s="40"/>
      <c r="E497" s="41"/>
      <c r="F497" s="41"/>
      <c r="G497" s="41"/>
      <c r="H497" s="41"/>
      <c r="I497" s="216"/>
      <c r="J497" s="41"/>
      <c r="K497" s="41"/>
      <c r="L497" s="216"/>
      <c r="M497" s="42" t="s">
        <v>89</v>
      </c>
      <c r="N497" s="270">
        <f>SUM(N490:N495)</f>
        <v>629.29</v>
      </c>
    </row>
    <row r="498" spans="2:14" ht="3.95" customHeight="1">
      <c r="D498" s="43"/>
      <c r="E498" s="44"/>
      <c r="F498" s="44"/>
      <c r="G498" s="45"/>
      <c r="H498" s="44"/>
      <c r="I498" s="217"/>
      <c r="J498" s="46"/>
      <c r="K498" s="47"/>
      <c r="L498" s="48"/>
      <c r="M498" s="48"/>
      <c r="N498" s="271"/>
    </row>
    <row r="499" spans="2:14" ht="20.100000000000001" customHeight="1">
      <c r="D499" s="518" t="s">
        <v>90</v>
      </c>
      <c r="E499" s="519"/>
      <c r="F499" s="519"/>
      <c r="G499" s="519"/>
      <c r="H499" s="519"/>
      <c r="I499" s="519"/>
      <c r="J499" s="513"/>
      <c r="K499" s="50" t="s">
        <v>91</v>
      </c>
      <c r="L499" s="51" t="s">
        <v>92</v>
      </c>
      <c r="M499" s="51" t="s">
        <v>93</v>
      </c>
      <c r="N499" s="272" t="s">
        <v>94</v>
      </c>
    </row>
    <row r="500" spans="2:14" ht="20.100000000000001" customHeight="1">
      <c r="B500" s="260" t="s">
        <v>250</v>
      </c>
      <c r="D500" s="52" t="str">
        <f>IF(B500=0,0,VLOOKUP(B500,MO,2,FALSE))</f>
        <v>ENCARREGADO DE PAVIMENTAÇÃO</v>
      </c>
      <c r="E500" s="53"/>
      <c r="F500" s="53"/>
      <c r="G500" s="53"/>
      <c r="H500" s="53"/>
      <c r="I500" s="36"/>
      <c r="J500" s="54"/>
      <c r="K500" s="152"/>
      <c r="L500" s="55">
        <v>1</v>
      </c>
      <c r="M500" s="55">
        <f>IF(B500=0,0,VLOOKUP(B500,MO,6,FALSE))</f>
        <v>44.786799999999999</v>
      </c>
      <c r="N500" s="273">
        <f>ROUND(L500*M500,2)</f>
        <v>44.79</v>
      </c>
    </row>
    <row r="501" spans="2:14" ht="20.100000000000001" customHeight="1">
      <c r="B501" s="260" t="s">
        <v>248</v>
      </c>
      <c r="D501" s="52" t="str">
        <f>IF(B501=0,0,VLOOKUP(B501,MO,2,FALSE))</f>
        <v>SERVENTE</v>
      </c>
      <c r="E501" s="53"/>
      <c r="F501" s="53"/>
      <c r="G501" s="53"/>
      <c r="H501" s="53"/>
      <c r="I501" s="36"/>
      <c r="J501" s="54"/>
      <c r="K501" s="152"/>
      <c r="L501" s="55">
        <v>6</v>
      </c>
      <c r="M501" s="55">
        <f>IF(B501=0,0,VLOOKUP(B501,MO,6,FALSE))</f>
        <v>7.9973000000000001</v>
      </c>
      <c r="N501" s="273">
        <f>ROUND(L501*M501,2)</f>
        <v>47.98</v>
      </c>
    </row>
    <row r="502" spans="2:14" ht="20.100000000000001" customHeight="1">
      <c r="B502" s="260"/>
      <c r="D502" s="52" t="s">
        <v>122</v>
      </c>
      <c r="E502" s="53"/>
      <c r="F502" s="53"/>
      <c r="G502" s="53"/>
      <c r="H502" s="53"/>
      <c r="I502" s="36"/>
      <c r="J502" s="54"/>
      <c r="K502" s="56">
        <v>0</v>
      </c>
      <c r="L502" s="57">
        <f>N500+N501</f>
        <v>92.77</v>
      </c>
      <c r="M502" s="55"/>
      <c r="N502" s="445">
        <f>ROUND(L502*K502,2)</f>
        <v>0</v>
      </c>
    </row>
    <row r="503" spans="2:14" ht="20.100000000000001" customHeight="1">
      <c r="D503" s="58"/>
      <c r="E503" s="59"/>
      <c r="F503" s="60"/>
      <c r="G503" s="60"/>
      <c r="H503" s="44"/>
      <c r="I503" s="217"/>
      <c r="J503" s="61"/>
      <c r="K503" s="47"/>
      <c r="L503" s="48"/>
      <c r="M503" s="62" t="s">
        <v>98</v>
      </c>
      <c r="N503" s="270">
        <f>SUM(N500:N502)</f>
        <v>92.77</v>
      </c>
    </row>
    <row r="504" spans="2:14" ht="3.95" customHeight="1">
      <c r="D504" s="43"/>
      <c r="E504" s="44"/>
      <c r="F504" s="44"/>
      <c r="G504" s="44"/>
      <c r="H504" s="44"/>
      <c r="I504" s="217"/>
      <c r="J504" s="61"/>
      <c r="K504" s="47"/>
      <c r="L504" s="48"/>
      <c r="M504" s="48"/>
      <c r="N504" s="271"/>
    </row>
    <row r="505" spans="2:14" ht="20.100000000000001" customHeight="1">
      <c r="D505" s="40"/>
      <c r="E505" s="60"/>
      <c r="F505" s="60"/>
      <c r="G505" s="60"/>
      <c r="H505" s="63"/>
      <c r="I505" s="218"/>
      <c r="J505" s="63"/>
      <c r="K505" s="509" t="s">
        <v>99</v>
      </c>
      <c r="L505" s="510"/>
      <c r="M505" s="511"/>
      <c r="N505" s="275">
        <f>+N497+N503</f>
        <v>722.06</v>
      </c>
    </row>
    <row r="506" spans="2:14" ht="3.95" customHeight="1">
      <c r="D506" s="64"/>
      <c r="E506" s="44"/>
      <c r="F506" s="44"/>
      <c r="G506" s="45"/>
      <c r="H506" s="44"/>
      <c r="I506" s="217"/>
      <c r="J506" s="46"/>
      <c r="K506" s="47"/>
      <c r="L506" s="48"/>
      <c r="M506" s="48"/>
      <c r="N506" s="271"/>
    </row>
    <row r="507" spans="2:14" ht="20.100000000000001" customHeight="1">
      <c r="D507" s="58"/>
      <c r="E507" s="509" t="s">
        <v>100</v>
      </c>
      <c r="F507" s="510"/>
      <c r="G507" s="510"/>
      <c r="H507" s="511"/>
      <c r="I507" s="219">
        <v>75</v>
      </c>
      <c r="J507" s="48"/>
      <c r="K507" s="506" t="s">
        <v>101</v>
      </c>
      <c r="L507" s="507"/>
      <c r="M507" s="507"/>
      <c r="N507" s="276">
        <f>ROUND(N505/I507,2)</f>
        <v>9.6300000000000008</v>
      </c>
    </row>
    <row r="508" spans="2:14" ht="3.95" customHeight="1">
      <c r="D508" s="43"/>
      <c r="E508" s="44"/>
      <c r="F508" s="44"/>
      <c r="G508" s="65"/>
      <c r="H508" s="44"/>
      <c r="I508" s="48"/>
      <c r="J508" s="46"/>
      <c r="K508" s="46"/>
      <c r="L508" s="48"/>
      <c r="M508" s="46"/>
      <c r="N508" s="277"/>
    </row>
    <row r="509" spans="2:14" ht="20.100000000000001" customHeight="1">
      <c r="D509" s="49" t="s">
        <v>102</v>
      </c>
      <c r="E509" s="22"/>
      <c r="F509" s="22"/>
      <c r="G509" s="22"/>
      <c r="H509" s="22"/>
      <c r="I509" s="141"/>
      <c r="J509" s="23"/>
      <c r="K509" s="50" t="s">
        <v>103</v>
      </c>
      <c r="L509" s="51" t="s">
        <v>80</v>
      </c>
      <c r="M509" s="51" t="s">
        <v>104</v>
      </c>
      <c r="N509" s="272" t="s">
        <v>105</v>
      </c>
    </row>
    <row r="510" spans="2:14" ht="20.100000000000001" customHeight="1">
      <c r="B510" s="260" t="s">
        <v>306</v>
      </c>
      <c r="D510" s="52" t="str">
        <f>IF(B510=0,0,VLOOKUP(B510,MAT,3,FALSE))</f>
        <v>CBUQ - USINAGEM</v>
      </c>
      <c r="E510" s="53"/>
      <c r="F510" s="53"/>
      <c r="G510" s="53"/>
      <c r="H510" s="53"/>
      <c r="I510" s="36"/>
      <c r="J510" s="54"/>
      <c r="K510" s="66" t="str">
        <f>IF(B510=0,0,VLOOKUP(B510,MAT,5,FALSE))</f>
        <v>T</v>
      </c>
      <c r="L510" s="67">
        <f>IF(B510=0,0,VLOOKUP(B510,MAT,6,FALSE))</f>
        <v>40.11</v>
      </c>
      <c r="M510" s="68">
        <v>1</v>
      </c>
      <c r="N510" s="273">
        <f>ROUND(L510*M510,2)</f>
        <v>40.11</v>
      </c>
    </row>
    <row r="511" spans="2:14" ht="20.100000000000001" customHeight="1">
      <c r="B511" s="260" t="s">
        <v>303</v>
      </c>
      <c r="D511" s="52" t="str">
        <f>IF(B511=0,0,VLOOKUP(B511,MAT,3,FALSE))</f>
        <v xml:space="preserve">AREIA </v>
      </c>
      <c r="E511" s="53"/>
      <c r="F511" s="53"/>
      <c r="G511" s="53"/>
      <c r="H511" s="53"/>
      <c r="I511" s="36"/>
      <c r="J511" s="54"/>
      <c r="K511" s="66" t="str">
        <f>IF(B511=0,0,VLOOKUP(B511,MAT,5,FALSE))</f>
        <v>M3</v>
      </c>
      <c r="L511" s="67">
        <f>IF(B511=0,0,VLOOKUP(B511,MAT,6,FALSE))</f>
        <v>23.28</v>
      </c>
      <c r="M511" s="68">
        <f>M519*1.5</f>
        <v>3.5429999999997963E-3</v>
      </c>
      <c r="N511" s="273">
        <f>ROUND(L511*M511,2)</f>
        <v>0.08</v>
      </c>
    </row>
    <row r="512" spans="2:14" ht="20.100000000000001" customHeight="1">
      <c r="B512" s="260" t="s">
        <v>305</v>
      </c>
      <c r="D512" s="52" t="str">
        <f>IF(B512=0,0,VLOOKUP(B512,MAT,3,FALSE))</f>
        <v>BRITA COMERCIAL</v>
      </c>
      <c r="E512" s="53"/>
      <c r="F512" s="53"/>
      <c r="G512" s="53"/>
      <c r="H512" s="53"/>
      <c r="I512" s="36"/>
      <c r="J512" s="54"/>
      <c r="K512" s="66" t="str">
        <f>IF(B512=0,0,VLOOKUP(B512,MAT,5,FALSE))</f>
        <v>M3</v>
      </c>
      <c r="L512" s="67">
        <f>IF(B512=0,0,VLOOKUP(B512,MAT,6,FALSE))</f>
        <v>30.630000000000003</v>
      </c>
      <c r="M512" s="68">
        <v>0.63800000000000001</v>
      </c>
      <c r="N512" s="278">
        <f>(L512*M512)</f>
        <v>19.54194</v>
      </c>
    </row>
    <row r="513" spans="2:15" ht="20.100000000000001" customHeight="1">
      <c r="B513" s="260"/>
      <c r="D513" s="52"/>
      <c r="E513" s="53"/>
      <c r="F513" s="53"/>
      <c r="G513" s="53"/>
      <c r="H513" s="53"/>
      <c r="I513" s="36"/>
      <c r="J513" s="54"/>
      <c r="K513" s="66"/>
      <c r="L513" s="67"/>
      <c r="M513" s="75"/>
      <c r="N513" s="273"/>
    </row>
    <row r="514" spans="2:15" ht="20.100000000000001" customHeight="1">
      <c r="D514" s="43"/>
      <c r="E514" s="44"/>
      <c r="F514" s="44"/>
      <c r="G514" s="65"/>
      <c r="H514" s="44"/>
      <c r="I514" s="48"/>
      <c r="J514" s="46"/>
      <c r="K514" s="46"/>
      <c r="L514" s="48"/>
      <c r="M514" s="71" t="s">
        <v>106</v>
      </c>
      <c r="N514" s="270">
        <f>SUM(N510:N512)</f>
        <v>59.731939999999994</v>
      </c>
    </row>
    <row r="515" spans="2:15" ht="3.95" customHeight="1">
      <c r="D515" s="43"/>
      <c r="E515" s="44"/>
      <c r="F515" s="44"/>
      <c r="G515" s="65"/>
      <c r="H515" s="44"/>
      <c r="I515" s="48"/>
      <c r="J515" s="46"/>
      <c r="K515" s="46"/>
      <c r="L515" s="48"/>
      <c r="M515" s="46"/>
      <c r="N515" s="277"/>
    </row>
    <row r="516" spans="2:15" ht="20.100000000000001" customHeight="1">
      <c r="D516" s="527" t="s">
        <v>107</v>
      </c>
      <c r="E516" s="72" t="s">
        <v>2</v>
      </c>
      <c r="F516" s="73"/>
      <c r="G516" s="73"/>
      <c r="H516" s="74"/>
      <c r="I516" s="498" t="s">
        <v>108</v>
      </c>
      <c r="J516" s="499"/>
      <c r="K516" s="531" t="s">
        <v>103</v>
      </c>
      <c r="L516" s="514" t="s">
        <v>80</v>
      </c>
      <c r="M516" s="531" t="s">
        <v>109</v>
      </c>
      <c r="N516" s="529" t="s">
        <v>105</v>
      </c>
    </row>
    <row r="517" spans="2:15" ht="20.100000000000001" customHeight="1">
      <c r="D517" s="528"/>
      <c r="E517" s="512" t="s">
        <v>127</v>
      </c>
      <c r="F517" s="513"/>
      <c r="G517" s="512" t="s">
        <v>111</v>
      </c>
      <c r="H517" s="513"/>
      <c r="I517" s="500"/>
      <c r="J517" s="501"/>
      <c r="K517" s="532"/>
      <c r="L517" s="515"/>
      <c r="M517" s="532"/>
      <c r="N517" s="530"/>
    </row>
    <row r="518" spans="2:15" ht="20.100000000000001" customHeight="1">
      <c r="B518" s="260" t="s">
        <v>331</v>
      </c>
      <c r="D518" s="261" t="str">
        <f>IF(B518=0,0,VLOOKUP(B518,TRANS,3,FALSE))</f>
        <v xml:space="preserve">CBUQ </v>
      </c>
      <c r="E518" s="504">
        <f>IF(B518=0,0,VLOOKUP(B518,TRANS,5,FALSE))</f>
        <v>0.37</v>
      </c>
      <c r="F518" s="505"/>
      <c r="G518" s="553"/>
      <c r="H518" s="554"/>
      <c r="I518" s="504">
        <f>IF(B518=0,0,VLOOKUP(B518,TRANS,6,FALSE))</f>
        <v>25</v>
      </c>
      <c r="J518" s="505"/>
      <c r="K518" s="66" t="str">
        <f>IF(B518=0,0,VLOOKUP(B518,TRANS,4,FALSE))</f>
        <v>T.KM</v>
      </c>
      <c r="L518" s="67">
        <f>E518*I518</f>
        <v>9.25</v>
      </c>
      <c r="M518" s="68">
        <f>M510</f>
        <v>1</v>
      </c>
      <c r="N518" s="273">
        <f>ROUND(L518*M518,2)</f>
        <v>9.25</v>
      </c>
    </row>
    <row r="519" spans="2:15" ht="20.100000000000001" customHeight="1">
      <c r="B519" s="260" t="s">
        <v>325</v>
      </c>
      <c r="D519" s="261" t="str">
        <f>IF(B519=0,0,VLOOKUP(B519,TRANS,3,FALSE))</f>
        <v xml:space="preserve">AREIA </v>
      </c>
      <c r="E519" s="504">
        <f>IF(B519=0,0,VLOOKUP(B519,TRANS,5,FALSE))</f>
        <v>0.33</v>
      </c>
      <c r="F519" s="505"/>
      <c r="G519" s="545"/>
      <c r="H519" s="546"/>
      <c r="I519" s="504">
        <f>IF(B519=0,0,VLOOKUP(B519,TRANS,6,FALSE))</f>
        <v>65.06</v>
      </c>
      <c r="J519" s="505"/>
      <c r="K519" s="66" t="str">
        <f>IF(B519=0,0,VLOOKUP(B519,TRANS,4,FALSE))</f>
        <v>T.KM</v>
      </c>
      <c r="L519" s="67">
        <f>(E519*I519)+H519</f>
        <v>21.469800000000003</v>
      </c>
      <c r="M519" s="68">
        <v>2.3619999999998642E-3</v>
      </c>
      <c r="N519" s="273">
        <f>ROUND(L519*M519,2)</f>
        <v>0.05</v>
      </c>
      <c r="O519" s="392">
        <f>M519+M520+M528</f>
        <v>0.99996199999999991</v>
      </c>
    </row>
    <row r="520" spans="2:15" ht="20.100000000000001" customHeight="1">
      <c r="B520" s="260" t="s">
        <v>328</v>
      </c>
      <c r="D520" s="261" t="str">
        <f>IF(B520=0,0,VLOOKUP(B520,TRANS,3,FALSE))</f>
        <v>BRITA ( PED - USINA )</v>
      </c>
      <c r="E520" s="504">
        <f>IF(B520=0,0,VLOOKUP(B520,TRANS,5,FALSE))</f>
        <v>0.33</v>
      </c>
      <c r="F520" s="505"/>
      <c r="G520" s="502"/>
      <c r="H520" s="503"/>
      <c r="I520" s="504">
        <f>IF(B520=0,0,VLOOKUP(B520,TRANS,6,FALSE))</f>
        <v>1</v>
      </c>
      <c r="J520" s="505"/>
      <c r="K520" s="66" t="str">
        <f>IF(B520=0,0,VLOOKUP(B520,TRANS,4,FALSE))</f>
        <v>T.KM</v>
      </c>
      <c r="L520" s="67">
        <f>(E520*I520)+H520</f>
        <v>0.33</v>
      </c>
      <c r="M520" s="70">
        <v>0.9496</v>
      </c>
      <c r="N520" s="278">
        <f>(L520*M520)</f>
        <v>0.31336800000000004</v>
      </c>
    </row>
    <row r="521" spans="2:15" ht="20.100000000000001" customHeight="1">
      <c r="D521" s="98"/>
      <c r="E521" s="99"/>
      <c r="F521" s="44"/>
      <c r="G521" s="65"/>
      <c r="H521" s="44"/>
      <c r="I521" s="48"/>
      <c r="J521" s="46"/>
      <c r="K521" s="46"/>
      <c r="L521" s="48"/>
      <c r="M521" s="71" t="s">
        <v>112</v>
      </c>
      <c r="N521" s="270">
        <f>SUM(N518:N520)</f>
        <v>9.6133680000000012</v>
      </c>
    </row>
    <row r="522" spans="2:15" ht="3.95" customHeight="1">
      <c r="D522" s="98"/>
      <c r="E522" s="99"/>
      <c r="F522" s="44"/>
      <c r="G522" s="65"/>
      <c r="H522" s="44"/>
      <c r="I522" s="48"/>
      <c r="J522" s="46"/>
      <c r="K522" s="46"/>
      <c r="L522" s="48"/>
      <c r="M522" s="100"/>
      <c r="N522" s="282"/>
    </row>
    <row r="523" spans="2:15" ht="20.100000000000001" customHeight="1">
      <c r="D523" s="98"/>
      <c r="E523" s="99"/>
      <c r="F523" s="44"/>
      <c r="G523" s="65"/>
      <c r="H523" s="44"/>
      <c r="I523" s="48"/>
      <c r="J523" s="46"/>
      <c r="K523" s="565" t="s">
        <v>129</v>
      </c>
      <c r="L523" s="566"/>
      <c r="M523" s="567"/>
      <c r="N523" s="279">
        <f>+N507+N514+N521</f>
        <v>78.975307999999984</v>
      </c>
    </row>
    <row r="524" spans="2:15" ht="20.100000000000001" customHeight="1">
      <c r="D524" s="98"/>
      <c r="E524" s="99"/>
      <c r="F524" s="44"/>
      <c r="G524" s="65"/>
      <c r="H524" s="44"/>
      <c r="I524" s="48"/>
      <c r="J524" s="46"/>
      <c r="K524" s="81" t="s">
        <v>115</v>
      </c>
      <c r="L524" s="359">
        <f>DI</f>
        <v>0.26700000000000002</v>
      </c>
      <c r="M524" s="83"/>
      <c r="N524" s="279">
        <f>L524*N523</f>
        <v>21.086407235999996</v>
      </c>
    </row>
    <row r="525" spans="2:15" ht="20.100000000000001" customHeight="1" thickBot="1">
      <c r="D525" s="102"/>
      <c r="E525" s="103"/>
      <c r="F525" s="104"/>
      <c r="G525" s="105"/>
      <c r="H525" s="104"/>
      <c r="I525" s="225"/>
      <c r="J525" s="85"/>
      <c r="K525" s="86" t="s">
        <v>130</v>
      </c>
      <c r="L525" s="280"/>
      <c r="M525" s="89"/>
      <c r="N525" s="281">
        <f>N523+N524</f>
        <v>100.06171523599998</v>
      </c>
    </row>
    <row r="526" spans="2:15" ht="3.95" customHeight="1" thickBot="1">
      <c r="D526" s="102"/>
      <c r="E526" s="103"/>
      <c r="F526" s="104"/>
      <c r="G526" s="105"/>
      <c r="H526" s="104"/>
      <c r="I526" s="225"/>
      <c r="J526" s="85"/>
      <c r="K526" s="112"/>
      <c r="L526" s="286"/>
      <c r="M526" s="112"/>
      <c r="N526" s="287"/>
    </row>
    <row r="527" spans="2:15" ht="20.100000000000001" customHeight="1">
      <c r="D527" s="571" t="s">
        <v>131</v>
      </c>
      <c r="E527" s="572"/>
      <c r="F527" s="572"/>
      <c r="G527" s="572"/>
      <c r="H527" s="572"/>
      <c r="I527" s="572"/>
      <c r="J527" s="573"/>
      <c r="K527" s="113" t="s">
        <v>103</v>
      </c>
      <c r="L527" s="34" t="s">
        <v>80</v>
      </c>
      <c r="M527" s="34" t="s">
        <v>104</v>
      </c>
      <c r="N527" s="288" t="s">
        <v>105</v>
      </c>
    </row>
    <row r="528" spans="2:15" ht="20.100000000000001" customHeight="1">
      <c r="B528" s="260" t="s">
        <v>357</v>
      </c>
      <c r="D528" s="264" t="str">
        <f>IF(B528=0,0,VLOOKUP(B528,MAT_BET,3,FALSE))</f>
        <v>AQUISIÇÃO CAP -20</v>
      </c>
      <c r="E528" s="265"/>
      <c r="F528" s="265"/>
      <c r="G528" s="265"/>
      <c r="H528" s="265"/>
      <c r="I528" s="265"/>
      <c r="J528" s="266"/>
      <c r="K528" s="262" t="str">
        <f>IF(B528=0,0,VLOOKUP(B528,MAT_BET,4,FALSE))</f>
        <v>T</v>
      </c>
      <c r="L528" s="67">
        <f>IF(B528=0,0,VLOOKUP(B528,MAT_BET,5,FALSE))</f>
        <v>1132</v>
      </c>
      <c r="M528" s="68">
        <v>4.8000000000000001E-2</v>
      </c>
      <c r="N528" s="273">
        <f>ROUND(L528*M528,2)</f>
        <v>54.34</v>
      </c>
    </row>
    <row r="529" spans="2:14" ht="20.100000000000001" customHeight="1">
      <c r="D529" s="114"/>
      <c r="E529" s="59"/>
      <c r="F529" s="59"/>
      <c r="G529" s="59"/>
      <c r="H529" s="59"/>
      <c r="I529" s="91"/>
      <c r="J529" s="115"/>
      <c r="K529" s="81" t="s">
        <v>115</v>
      </c>
      <c r="L529" s="359">
        <f>DI</f>
        <v>0.26700000000000002</v>
      </c>
      <c r="M529" s="83"/>
      <c r="N529" s="279">
        <f>L529*N528</f>
        <v>14.508780000000002</v>
      </c>
    </row>
    <row r="530" spans="2:14" ht="20.100000000000001" customHeight="1">
      <c r="D530" s="76"/>
      <c r="E530" s="77"/>
      <c r="F530" s="77"/>
      <c r="G530" s="77"/>
      <c r="H530" s="77"/>
      <c r="I530" s="156"/>
      <c r="J530" s="116"/>
      <c r="K530" s="81" t="s">
        <v>132</v>
      </c>
      <c r="L530" s="289"/>
      <c r="M530" s="83"/>
      <c r="N530" s="279">
        <f>N528+N529</f>
        <v>68.848780000000005</v>
      </c>
    </row>
    <row r="531" spans="2:14" ht="20.100000000000001" customHeight="1">
      <c r="D531" s="117"/>
      <c r="E531" s="118"/>
      <c r="F531" s="118"/>
      <c r="G531" s="118"/>
      <c r="H531" s="118"/>
      <c r="I531" s="94"/>
      <c r="J531" s="119"/>
      <c r="K531" s="113" t="s">
        <v>103</v>
      </c>
      <c r="L531" s="34" t="s">
        <v>80</v>
      </c>
      <c r="M531" s="34" t="s">
        <v>104</v>
      </c>
      <c r="N531" s="288" t="s">
        <v>105</v>
      </c>
    </row>
    <row r="532" spans="2:14" ht="20.100000000000001" customHeight="1">
      <c r="B532" s="260" t="s">
        <v>363</v>
      </c>
      <c r="D532" s="264" t="str">
        <f>IF(B532=0,0,VLOOKUP(B532,MAT_BET,3,FALSE))</f>
        <v>TRANSPORTE CAP - 20</v>
      </c>
      <c r="E532" s="265"/>
      <c r="F532" s="265"/>
      <c r="G532" s="265"/>
      <c r="H532" s="265"/>
      <c r="I532" s="265"/>
      <c r="J532" s="266"/>
      <c r="K532" s="262" t="str">
        <f>IF(B532=0,0,VLOOKUP(B532,MAT_BET,4,FALSE))</f>
        <v>T</v>
      </c>
      <c r="L532" s="67">
        <f>IF(B532=0,0,VLOOKUP(B532,MAT_BET,5,FALSE))</f>
        <v>230.69</v>
      </c>
      <c r="M532" s="68">
        <v>4.8000000000000001E-2</v>
      </c>
      <c r="N532" s="278">
        <f>(L532*M532)</f>
        <v>11.073119999999999</v>
      </c>
    </row>
    <row r="533" spans="2:14" ht="20.100000000000001" customHeight="1">
      <c r="D533" s="114"/>
      <c r="E533" s="59"/>
      <c r="F533" s="59"/>
      <c r="G533" s="59"/>
      <c r="H533" s="59"/>
      <c r="I533" s="91"/>
      <c r="J533" s="115"/>
      <c r="K533" s="81" t="s">
        <v>115</v>
      </c>
      <c r="L533" s="359">
        <f>DI</f>
        <v>0.26700000000000002</v>
      </c>
      <c r="M533" s="83"/>
      <c r="N533" s="279">
        <f>L533*N532</f>
        <v>2.95652304</v>
      </c>
    </row>
    <row r="534" spans="2:14" ht="20.100000000000001" customHeight="1" thickBot="1">
      <c r="D534" s="76"/>
      <c r="E534" s="77"/>
      <c r="F534" s="77"/>
      <c r="G534" s="77"/>
      <c r="H534" s="77"/>
      <c r="I534" s="156"/>
      <c r="J534" s="116"/>
      <c r="K534" s="97" t="s">
        <v>133</v>
      </c>
      <c r="L534" s="290"/>
      <c r="M534" s="120"/>
      <c r="N534" s="291">
        <f>N532+N533</f>
        <v>14.02964304</v>
      </c>
    </row>
    <row r="535" spans="2:14" ht="20.100000000000001" customHeight="1" thickBot="1">
      <c r="D535" s="121"/>
      <c r="E535" s="122"/>
      <c r="F535" s="122"/>
      <c r="G535" s="123"/>
      <c r="H535" s="122"/>
      <c r="I535" s="227"/>
      <c r="J535" s="124"/>
      <c r="K535" s="549" t="s">
        <v>134</v>
      </c>
      <c r="L535" s="549"/>
      <c r="M535" s="550"/>
      <c r="N535" s="292">
        <f>N530+N534</f>
        <v>82.878423040000001</v>
      </c>
    </row>
    <row r="536" spans="2:14" ht="3.95" customHeight="1" thickBot="1">
      <c r="D536" s="43"/>
      <c r="E536" s="44"/>
      <c r="F536" s="44"/>
      <c r="G536" s="65"/>
      <c r="H536" s="44"/>
      <c r="I536" s="48"/>
      <c r="J536" s="46"/>
      <c r="K536" s="125"/>
      <c r="L536" s="293"/>
      <c r="M536" s="125"/>
      <c r="N536" s="282"/>
    </row>
    <row r="537" spans="2:14" ht="20.100000000000001" customHeight="1">
      <c r="D537" s="126"/>
      <c r="E537" s="108"/>
      <c r="F537" s="108"/>
      <c r="G537" s="109"/>
      <c r="H537" s="108"/>
      <c r="I537" s="228" t="s">
        <v>114</v>
      </c>
      <c r="J537" s="128"/>
      <c r="K537" s="128"/>
      <c r="L537" s="354">
        <v>0.02</v>
      </c>
      <c r="M537" s="129"/>
      <c r="N537" s="294">
        <f>(N521+N528+N532)*L537</f>
        <v>1.50052976</v>
      </c>
    </row>
    <row r="538" spans="2:14" ht="20.100000000000001" customHeight="1">
      <c r="D538" s="43"/>
      <c r="E538" s="44"/>
      <c r="F538" s="44"/>
      <c r="G538" s="65"/>
      <c r="H538" s="44"/>
      <c r="I538" s="563" t="s">
        <v>135</v>
      </c>
      <c r="J538" s="564"/>
      <c r="K538" s="564"/>
      <c r="L538" s="564"/>
      <c r="M538" s="125"/>
      <c r="N538" s="282">
        <f>N523+N528+N532+N537</f>
        <v>145.88895775999998</v>
      </c>
    </row>
    <row r="539" spans="2:14" ht="20.100000000000001" customHeight="1" thickBot="1">
      <c r="D539" s="130"/>
      <c r="E539" s="104"/>
      <c r="F539" s="104"/>
      <c r="G539" s="105"/>
      <c r="H539" s="104"/>
      <c r="I539" s="537" t="s">
        <v>136</v>
      </c>
      <c r="J539" s="538"/>
      <c r="K539" s="538"/>
      <c r="L539" s="538"/>
      <c r="M539" s="131"/>
      <c r="N539" s="295">
        <f>N538*2.4</f>
        <v>350.13349862399997</v>
      </c>
    </row>
    <row r="540" spans="2:14" ht="3.95" customHeight="1" thickBot="1">
      <c r="D540" s="98"/>
      <c r="E540" s="99"/>
      <c r="F540" s="44"/>
      <c r="G540" s="65"/>
      <c r="H540" s="44"/>
      <c r="I540" s="48"/>
      <c r="J540" s="46"/>
      <c r="K540" s="46"/>
      <c r="L540" s="48"/>
      <c r="M540" s="100"/>
      <c r="N540" s="282"/>
    </row>
    <row r="541" spans="2:14" ht="20.100000000000001" customHeight="1">
      <c r="D541" s="133"/>
      <c r="E541" s="134"/>
      <c r="F541" s="134"/>
      <c r="G541" s="134"/>
      <c r="H541" s="134"/>
      <c r="I541" s="229" t="s">
        <v>137</v>
      </c>
      <c r="J541" s="148"/>
      <c r="K541" s="148"/>
      <c r="L541" s="354">
        <f>DI</f>
        <v>0.26700000000000002</v>
      </c>
      <c r="M541" s="136"/>
      <c r="N541" s="294">
        <f>(N538*L529)+N538</f>
        <v>184.84130948191998</v>
      </c>
    </row>
    <row r="542" spans="2:14" ht="20.100000000000001" customHeight="1" thickBot="1">
      <c r="D542" s="137"/>
      <c r="E542" s="138"/>
      <c r="F542" s="138"/>
      <c r="G542" s="138"/>
      <c r="H542" s="138"/>
      <c r="I542" s="230" t="s">
        <v>138</v>
      </c>
      <c r="J542" s="149"/>
      <c r="K542" s="149"/>
      <c r="L542" s="358">
        <f>DI</f>
        <v>0.26700000000000002</v>
      </c>
      <c r="M542" s="140"/>
      <c r="N542" s="295">
        <f>N541*2.4</f>
        <v>443.61914275660791</v>
      </c>
    </row>
    <row r="545" spans="2:14" ht="20.100000000000001" customHeight="1" thickBot="1"/>
    <row r="546" spans="2:14" ht="19.5" customHeight="1">
      <c r="B546" s="197" t="s">
        <v>193</v>
      </c>
      <c r="D546" s="520" t="s">
        <v>233</v>
      </c>
      <c r="E546" s="521"/>
      <c r="F546" s="542" t="s">
        <v>74</v>
      </c>
      <c r="G546" s="543"/>
      <c r="H546" s="543"/>
      <c r="I546" s="543"/>
      <c r="J546" s="543"/>
      <c r="K546" s="543"/>
      <c r="L546" s="544"/>
      <c r="M546" s="19" t="s">
        <v>75</v>
      </c>
      <c r="N546" s="20" t="s">
        <v>76</v>
      </c>
    </row>
    <row r="547" spans="2:14" ht="20.100000000000001" customHeight="1">
      <c r="D547" s="522"/>
      <c r="E547" s="523"/>
      <c r="F547" s="512" t="str">
        <f>VLOOKUP(B546,Resumo_Composições,3,FALSE)</f>
        <v>TSD - TRATAMENTO SUPERFICIAL DUPLO (construção)</v>
      </c>
      <c r="G547" s="519"/>
      <c r="H547" s="519"/>
      <c r="I547" s="519"/>
      <c r="J547" s="519"/>
      <c r="K547" s="519"/>
      <c r="L547" s="513"/>
      <c r="M547" s="24" t="str">
        <f>VLOOKUP(B546,Resumo_Composições,4,FALSE)</f>
        <v>M2</v>
      </c>
      <c r="N547" s="25">
        <f>DATA</f>
        <v>41214</v>
      </c>
    </row>
    <row r="548" spans="2:14" ht="20.100000000000001" customHeight="1">
      <c r="D548" s="26" t="s">
        <v>77</v>
      </c>
      <c r="E548" s="27"/>
      <c r="F548" s="27"/>
      <c r="G548" s="27"/>
      <c r="H548" s="28"/>
      <c r="I548" s="214" t="s">
        <v>78</v>
      </c>
      <c r="J548" s="509" t="s">
        <v>79</v>
      </c>
      <c r="K548" s="511"/>
      <c r="L548" s="535" t="s">
        <v>80</v>
      </c>
      <c r="M548" s="536"/>
      <c r="N548" s="516" t="s">
        <v>81</v>
      </c>
    </row>
    <row r="549" spans="2:14" ht="20.100000000000001" customHeight="1">
      <c r="D549" s="31"/>
      <c r="E549" s="32"/>
      <c r="F549" s="32"/>
      <c r="G549" s="32"/>
      <c r="H549" s="33"/>
      <c r="I549" s="34"/>
      <c r="J549" s="51" t="s">
        <v>82</v>
      </c>
      <c r="K549" s="51" t="s">
        <v>83</v>
      </c>
      <c r="L549" s="51" t="s">
        <v>82</v>
      </c>
      <c r="M549" s="51" t="s">
        <v>84</v>
      </c>
      <c r="N549" s="517"/>
    </row>
    <row r="550" spans="2:14" ht="20.100000000000001" customHeight="1">
      <c r="B550" s="260" t="s">
        <v>292</v>
      </c>
      <c r="D550" s="35" t="str">
        <f t="shared" ref="D550:D558" si="38">IF(B550=0,0,VLOOKUP(B550,EQUIP,3,FALSE))</f>
        <v>TRATOR AGRICOLA (77 KW)</v>
      </c>
      <c r="E550" s="36"/>
      <c r="F550" s="36"/>
      <c r="G550" s="36"/>
      <c r="H550" s="37"/>
      <c r="I550" s="215">
        <v>1</v>
      </c>
      <c r="J550" s="38">
        <v>0.22</v>
      </c>
      <c r="K550" s="38">
        <v>0.78</v>
      </c>
      <c r="L550" s="215">
        <f t="shared" ref="L550:L558" si="39">IF(B550=0,0,VLOOKUP(B550,EQUIP,6,FALSE))</f>
        <v>65.799899999999994</v>
      </c>
      <c r="M550" s="38">
        <f t="shared" ref="M550:M558" si="40">IF(B550=0,0,VLOOKUP(B550,EQUIP,7,FALSE))</f>
        <v>17.27</v>
      </c>
      <c r="N550" s="269">
        <f t="shared" ref="N550:N558" si="41">ROUND(I550*J550*L550+I550*K550*M550,2)</f>
        <v>27.95</v>
      </c>
    </row>
    <row r="551" spans="2:14" ht="20.100000000000001" customHeight="1">
      <c r="B551" s="260" t="s">
        <v>268</v>
      </c>
      <c r="D551" s="35" t="str">
        <f t="shared" si="38"/>
        <v>CARREGADEIRA DE PNEUS - 1,33 m³ (79kW)</v>
      </c>
      <c r="E551" s="36"/>
      <c r="F551" s="36"/>
      <c r="G551" s="36"/>
      <c r="H551" s="37"/>
      <c r="I551" s="215">
        <v>1</v>
      </c>
      <c r="J551" s="38">
        <v>0.08</v>
      </c>
      <c r="K551" s="38">
        <v>0.92</v>
      </c>
      <c r="L551" s="215">
        <f t="shared" si="39"/>
        <v>90.018789144050103</v>
      </c>
      <c r="M551" s="38">
        <f t="shared" si="40"/>
        <v>22.39</v>
      </c>
      <c r="N551" s="269">
        <f t="shared" si="41"/>
        <v>27.8</v>
      </c>
    </row>
    <row r="552" spans="2:14" ht="20.100000000000001" customHeight="1">
      <c r="B552" s="260" t="s">
        <v>284</v>
      </c>
      <c r="D552" s="35" t="str">
        <f t="shared" si="38"/>
        <v>ROLO COMPACTADOR - DE PNEUS AUTOPROPELIDO 21 t (97kW)</v>
      </c>
      <c r="E552" s="36"/>
      <c r="F552" s="36"/>
      <c r="G552" s="36"/>
      <c r="H552" s="37"/>
      <c r="I552" s="215">
        <v>1</v>
      </c>
      <c r="J552" s="38">
        <v>0.35</v>
      </c>
      <c r="K552" s="38">
        <v>0.65</v>
      </c>
      <c r="L552" s="215">
        <f t="shared" si="39"/>
        <v>96.39</v>
      </c>
      <c r="M552" s="38">
        <f t="shared" si="40"/>
        <v>17.27</v>
      </c>
      <c r="N552" s="269">
        <f t="shared" si="41"/>
        <v>44.96</v>
      </c>
    </row>
    <row r="553" spans="2:14" ht="20.100000000000001" customHeight="1">
      <c r="B553" s="260" t="s">
        <v>296</v>
      </c>
      <c r="D553" s="35" t="str">
        <f t="shared" si="38"/>
        <v>VASSOURA MECÂNICA REBOCÁVEL</v>
      </c>
      <c r="E553" s="36"/>
      <c r="F553" s="36"/>
      <c r="G553" s="36"/>
      <c r="H553" s="37"/>
      <c r="I553" s="215">
        <v>1</v>
      </c>
      <c r="J553" s="38">
        <v>0.22</v>
      </c>
      <c r="K553" s="38">
        <v>0.78</v>
      </c>
      <c r="L553" s="215">
        <f t="shared" si="39"/>
        <v>3.83</v>
      </c>
      <c r="M553" s="38">
        <f t="shared" si="40"/>
        <v>0</v>
      </c>
      <c r="N553" s="269">
        <f t="shared" si="41"/>
        <v>0.84</v>
      </c>
    </row>
    <row r="554" spans="2:14" ht="20.100000000000001" customHeight="1">
      <c r="B554" s="260" t="s">
        <v>274</v>
      </c>
      <c r="D554" s="35" t="str">
        <f t="shared" si="38"/>
        <v>DISTRIBUIDOR DE AGREGADOS - REBOCÁVEL</v>
      </c>
      <c r="E554" s="91"/>
      <c r="F554" s="91"/>
      <c r="G554" s="91"/>
      <c r="H554" s="92"/>
      <c r="I554" s="215">
        <v>1</v>
      </c>
      <c r="J554" s="38">
        <v>0.5</v>
      </c>
      <c r="K554" s="38">
        <v>0.5</v>
      </c>
      <c r="L554" s="215">
        <f t="shared" si="39"/>
        <v>3.26</v>
      </c>
      <c r="M554" s="38">
        <f t="shared" si="40"/>
        <v>0</v>
      </c>
      <c r="N554" s="269">
        <f t="shared" si="41"/>
        <v>1.63</v>
      </c>
    </row>
    <row r="555" spans="2:14" ht="20.100000000000001" customHeight="1">
      <c r="B555" s="260" t="s">
        <v>290</v>
      </c>
      <c r="D555" s="35" t="str">
        <f t="shared" si="38"/>
        <v>TANQUE DE ESTOCAGEM DE ASFALTO - 20.000l</v>
      </c>
      <c r="E555" s="36"/>
      <c r="F555" s="36"/>
      <c r="G555" s="36"/>
      <c r="H555" s="37"/>
      <c r="I555" s="57">
        <v>2</v>
      </c>
      <c r="J555" s="39">
        <v>1</v>
      </c>
      <c r="K555" s="39">
        <v>0</v>
      </c>
      <c r="L555" s="215">
        <f t="shared" si="39"/>
        <v>5.1100000000000003</v>
      </c>
      <c r="M555" s="38">
        <f t="shared" si="40"/>
        <v>0</v>
      </c>
      <c r="N555" s="269">
        <f t="shared" si="41"/>
        <v>10.220000000000001</v>
      </c>
    </row>
    <row r="556" spans="2:14" ht="20.100000000000001" customHeight="1">
      <c r="B556" s="260" t="s">
        <v>275</v>
      </c>
      <c r="D556" s="35" t="str">
        <f t="shared" si="38"/>
        <v>EQUIP. DISTRIBUIÇÃO DE ASFALTO MONTADO EM CAMINHÃO 150 KW</v>
      </c>
      <c r="E556" s="94"/>
      <c r="F556" s="94"/>
      <c r="G556" s="94"/>
      <c r="H556" s="95"/>
      <c r="I556" s="55">
        <v>1</v>
      </c>
      <c r="J556" s="39">
        <v>1</v>
      </c>
      <c r="K556" s="39">
        <v>0</v>
      </c>
      <c r="L556" s="215">
        <f t="shared" si="39"/>
        <v>98.34</v>
      </c>
      <c r="M556" s="38">
        <f t="shared" si="40"/>
        <v>20.47</v>
      </c>
      <c r="N556" s="269">
        <f t="shared" si="41"/>
        <v>98.34</v>
      </c>
    </row>
    <row r="557" spans="2:14" ht="20.100000000000001" customHeight="1">
      <c r="B557" s="260" t="s">
        <v>257</v>
      </c>
      <c r="D557" s="35" t="str">
        <f t="shared" si="38"/>
        <v>AQUECEDOR DE FLUIDO TÉRMICO - (8kW)</v>
      </c>
      <c r="E557" s="94"/>
      <c r="F557" s="94"/>
      <c r="G557" s="94"/>
      <c r="H557" s="95"/>
      <c r="I557" s="55">
        <v>1</v>
      </c>
      <c r="J557" s="39">
        <v>1</v>
      </c>
      <c r="K557" s="142">
        <v>0</v>
      </c>
      <c r="L557" s="215">
        <f t="shared" si="39"/>
        <v>26.331</v>
      </c>
      <c r="M557" s="38">
        <f t="shared" si="40"/>
        <v>0</v>
      </c>
      <c r="N557" s="269">
        <f t="shared" si="41"/>
        <v>26.33</v>
      </c>
    </row>
    <row r="558" spans="2:14" ht="20.100000000000001" customHeight="1">
      <c r="B558" s="260" t="s">
        <v>260</v>
      </c>
      <c r="D558" s="35" t="str">
        <f t="shared" si="38"/>
        <v>CAMINHÃO BASCULANTE - 6m³ - 10,5 t (150kW)</v>
      </c>
      <c r="E558" s="94"/>
      <c r="F558" s="94"/>
      <c r="G558" s="94"/>
      <c r="H558" s="95"/>
      <c r="I558" s="55">
        <v>0.82</v>
      </c>
      <c r="J558" s="39">
        <v>1</v>
      </c>
      <c r="K558" s="142">
        <v>0</v>
      </c>
      <c r="L558" s="215">
        <f t="shared" si="39"/>
        <v>93.9</v>
      </c>
      <c r="M558" s="38">
        <f t="shared" si="40"/>
        <v>20.47</v>
      </c>
      <c r="N558" s="269">
        <f t="shared" si="41"/>
        <v>77</v>
      </c>
    </row>
    <row r="559" spans="2:14" ht="20.100000000000001" customHeight="1">
      <c r="B559" s="260"/>
      <c r="D559" s="35"/>
      <c r="E559" s="36"/>
      <c r="F559" s="36"/>
      <c r="G559" s="36"/>
      <c r="H559" s="37"/>
      <c r="I559" s="55"/>
      <c r="J559" s="39"/>
      <c r="K559" s="142"/>
      <c r="L559" s="55"/>
      <c r="M559" s="39"/>
      <c r="N559" s="269"/>
    </row>
    <row r="560" spans="2:14" ht="20.100000000000001" customHeight="1">
      <c r="D560" s="40"/>
      <c r="E560" s="41"/>
      <c r="F560" s="41"/>
      <c r="G560" s="41"/>
      <c r="H560" s="41"/>
      <c r="I560" s="216"/>
      <c r="J560" s="41"/>
      <c r="K560" s="41"/>
      <c r="L560" s="216"/>
      <c r="M560" s="42" t="s">
        <v>89</v>
      </c>
      <c r="N560" s="270">
        <f>SUM(N550:N559)</f>
        <v>315.07</v>
      </c>
    </row>
    <row r="561" spans="2:14" ht="3.95" customHeight="1">
      <c r="D561" s="43"/>
      <c r="E561" s="44"/>
      <c r="F561" s="44"/>
      <c r="G561" s="45"/>
      <c r="H561" s="44"/>
      <c r="I561" s="217"/>
      <c r="J561" s="46"/>
      <c r="K561" s="47"/>
      <c r="L561" s="48"/>
      <c r="M561" s="48"/>
      <c r="N561" s="271"/>
    </row>
    <row r="562" spans="2:14" ht="20.100000000000001" customHeight="1">
      <c r="D562" s="49" t="s">
        <v>90</v>
      </c>
      <c r="E562" s="22"/>
      <c r="F562" s="22"/>
      <c r="G562" s="22"/>
      <c r="H562" s="22"/>
      <c r="I562" s="141"/>
      <c r="J562" s="23"/>
      <c r="K562" s="50" t="s">
        <v>91</v>
      </c>
      <c r="L562" s="51" t="s">
        <v>92</v>
      </c>
      <c r="M562" s="51" t="s">
        <v>93</v>
      </c>
      <c r="N562" s="272" t="s">
        <v>94</v>
      </c>
    </row>
    <row r="563" spans="2:14" ht="20.100000000000001" customHeight="1">
      <c r="B563" s="260" t="s">
        <v>250</v>
      </c>
      <c r="D563" s="52" t="str">
        <f>IF(B563=0,0,VLOOKUP(B563,MO,2,FALSE))</f>
        <v>ENCARREGADO DE PAVIMENTAÇÃO</v>
      </c>
      <c r="E563" s="53"/>
      <c r="F563" s="53"/>
      <c r="G563" s="53"/>
      <c r="H563" s="53"/>
      <c r="I563" s="36"/>
      <c r="J563" s="54"/>
      <c r="K563" s="39"/>
      <c r="L563" s="55">
        <v>1</v>
      </c>
      <c r="M563" s="55">
        <f>IF(B563=0,0,VLOOKUP(B563,MO,6,FALSE))</f>
        <v>44.786799999999999</v>
      </c>
      <c r="N563" s="273">
        <f>ROUND(L563*M563,2)</f>
        <v>44.79</v>
      </c>
    </row>
    <row r="564" spans="2:14" ht="20.100000000000001" customHeight="1">
      <c r="B564" s="260" t="s">
        <v>248</v>
      </c>
      <c r="D564" s="52" t="str">
        <f>IF(B564=0,0,VLOOKUP(B564,MO,2,FALSE))</f>
        <v>SERVENTE</v>
      </c>
      <c r="E564" s="53"/>
      <c r="F564" s="53"/>
      <c r="G564" s="53"/>
      <c r="H564" s="53"/>
      <c r="I564" s="36"/>
      <c r="J564" s="54"/>
      <c r="K564" s="39"/>
      <c r="L564" s="55">
        <v>6</v>
      </c>
      <c r="M564" s="55">
        <f>IF(B564=0,0,VLOOKUP(B564,MO,6,FALSE))</f>
        <v>7.9973000000000001</v>
      </c>
      <c r="N564" s="273">
        <f>ROUND(L564*M564,2)</f>
        <v>47.98</v>
      </c>
    </row>
    <row r="565" spans="2:14" ht="20.100000000000001" customHeight="1">
      <c r="B565" s="260"/>
      <c r="D565" s="52" t="s">
        <v>122</v>
      </c>
      <c r="E565" s="53"/>
      <c r="F565" s="53"/>
      <c r="G565" s="53"/>
      <c r="H565" s="53"/>
      <c r="I565" s="36"/>
      <c r="J565" s="54"/>
      <c r="K565" s="56">
        <v>0</v>
      </c>
      <c r="L565" s="57">
        <f>N563+N564</f>
        <v>92.77</v>
      </c>
      <c r="M565" s="55"/>
      <c r="N565" s="445">
        <f>ROUND(L565*K565,2)</f>
        <v>0</v>
      </c>
    </row>
    <row r="566" spans="2:14" ht="20.100000000000001" customHeight="1">
      <c r="D566" s="58"/>
      <c r="E566" s="59"/>
      <c r="F566" s="60"/>
      <c r="G566" s="60"/>
      <c r="H566" s="44"/>
      <c r="I566" s="217"/>
      <c r="J566" s="61"/>
      <c r="K566" s="47"/>
      <c r="L566" s="48"/>
      <c r="M566" s="62" t="s">
        <v>98</v>
      </c>
      <c r="N566" s="270">
        <f>SUM(N563:N565)</f>
        <v>92.77</v>
      </c>
    </row>
    <row r="567" spans="2:14" ht="3.95" customHeight="1">
      <c r="D567" s="43"/>
      <c r="E567" s="44"/>
      <c r="F567" s="44"/>
      <c r="G567" s="44"/>
      <c r="H567" s="44"/>
      <c r="I567" s="217"/>
      <c r="J567" s="61"/>
      <c r="K567" s="47"/>
      <c r="L567" s="48"/>
      <c r="M567" s="48"/>
      <c r="N567" s="271"/>
    </row>
    <row r="568" spans="2:14" ht="20.100000000000001" customHeight="1">
      <c r="D568" s="40"/>
      <c r="E568" s="60"/>
      <c r="F568" s="60"/>
      <c r="G568" s="60"/>
      <c r="H568" s="63"/>
      <c r="I568" s="218"/>
      <c r="J568" s="63"/>
      <c r="K568" s="509" t="s">
        <v>99</v>
      </c>
      <c r="L568" s="510"/>
      <c r="M568" s="511"/>
      <c r="N568" s="275">
        <f>+N560+N566</f>
        <v>407.84</v>
      </c>
    </row>
    <row r="569" spans="2:14" ht="3.95" customHeight="1">
      <c r="D569" s="64"/>
      <c r="E569" s="44"/>
      <c r="F569" s="44"/>
      <c r="G569" s="45"/>
      <c r="H569" s="44"/>
      <c r="I569" s="217"/>
      <c r="J569" s="46"/>
      <c r="K569" s="47"/>
      <c r="L569" s="48"/>
      <c r="M569" s="48"/>
      <c r="N569" s="271"/>
    </row>
    <row r="570" spans="2:14" ht="20.100000000000001" customHeight="1">
      <c r="D570" s="58"/>
      <c r="E570" s="509" t="s">
        <v>100</v>
      </c>
      <c r="F570" s="510"/>
      <c r="G570" s="510"/>
      <c r="H570" s="511"/>
      <c r="I570" s="219">
        <v>322</v>
      </c>
      <c r="J570" s="48"/>
      <c r="K570" s="506" t="s">
        <v>101</v>
      </c>
      <c r="L570" s="507"/>
      <c r="M570" s="507"/>
      <c r="N570" s="276">
        <f>ROUND(N568/I570,2)</f>
        <v>1.27</v>
      </c>
    </row>
    <row r="571" spans="2:14" ht="3.95" customHeight="1">
      <c r="D571" s="43"/>
      <c r="E571" s="44"/>
      <c r="F571" s="44"/>
      <c r="G571" s="65"/>
      <c r="H571" s="44"/>
      <c r="I571" s="48"/>
      <c r="J571" s="46"/>
      <c r="K571" s="46"/>
      <c r="L571" s="48"/>
      <c r="M571" s="46"/>
      <c r="N571" s="277"/>
    </row>
    <row r="572" spans="2:14" ht="20.100000000000001" customHeight="1">
      <c r="D572" s="49" t="s">
        <v>102</v>
      </c>
      <c r="E572" s="22"/>
      <c r="F572" s="22"/>
      <c r="G572" s="22"/>
      <c r="H572" s="22"/>
      <c r="I572" s="141"/>
      <c r="J572" s="23"/>
      <c r="K572" s="50" t="s">
        <v>103</v>
      </c>
      <c r="L572" s="51" t="s">
        <v>80</v>
      </c>
      <c r="M572" s="51" t="s">
        <v>104</v>
      </c>
      <c r="N572" s="272" t="s">
        <v>105</v>
      </c>
    </row>
    <row r="573" spans="2:14" ht="20.100000000000001" customHeight="1">
      <c r="B573" s="260" t="s">
        <v>305</v>
      </c>
      <c r="D573" s="52" t="str">
        <f>IF(B573=0,0,VLOOKUP(B573,MAT,3,FALSE))</f>
        <v>BRITA COMERCIAL</v>
      </c>
      <c r="E573" s="53"/>
      <c r="F573" s="53"/>
      <c r="G573" s="53"/>
      <c r="H573" s="53"/>
      <c r="I573" s="36"/>
      <c r="J573" s="54"/>
      <c r="K573" s="66" t="str">
        <f>IF(B573=0,0,VLOOKUP(B573,MAT,5,FALSE))</f>
        <v>M3</v>
      </c>
      <c r="L573" s="67">
        <f>IF(B573=0,0,VLOOKUP(B573,MAT,6,FALSE))</f>
        <v>30.630000000000003</v>
      </c>
      <c r="M573" s="68">
        <v>2.47E-2</v>
      </c>
      <c r="N573" s="273">
        <f>ROUND(L573*M573,2)</f>
        <v>0.76</v>
      </c>
    </row>
    <row r="574" spans="2:14" ht="20.100000000000001" customHeight="1">
      <c r="B574" s="260"/>
      <c r="D574" s="52"/>
      <c r="E574" s="53"/>
      <c r="F574" s="53"/>
      <c r="G574" s="53"/>
      <c r="H574" s="53"/>
      <c r="I574" s="36"/>
      <c r="J574" s="54"/>
      <c r="K574" s="187"/>
      <c r="L574" s="188"/>
      <c r="M574" s="69"/>
      <c r="N574" s="273"/>
    </row>
    <row r="575" spans="2:14" ht="20.100000000000001" customHeight="1">
      <c r="B575" s="260"/>
      <c r="D575" s="52"/>
      <c r="E575" s="53"/>
      <c r="F575" s="53"/>
      <c r="G575" s="53"/>
      <c r="H575" s="53"/>
      <c r="I575" s="36"/>
      <c r="J575" s="54"/>
      <c r="K575" s="66"/>
      <c r="L575" s="67"/>
      <c r="M575" s="75"/>
      <c r="N575" s="273"/>
    </row>
    <row r="576" spans="2:14" ht="20.100000000000001" customHeight="1">
      <c r="D576" s="43"/>
      <c r="E576" s="44"/>
      <c r="F576" s="44"/>
      <c r="G576" s="65"/>
      <c r="H576" s="44"/>
      <c r="I576" s="48"/>
      <c r="J576" s="46"/>
      <c r="K576" s="46"/>
      <c r="L576" s="48"/>
      <c r="M576" s="71" t="s">
        <v>106</v>
      </c>
      <c r="N576" s="270">
        <f>SUM(N573)</f>
        <v>0.76</v>
      </c>
    </row>
    <row r="577" spans="2:14" ht="3.95" customHeight="1">
      <c r="D577" s="43"/>
      <c r="E577" s="44"/>
      <c r="F577" s="44"/>
      <c r="G577" s="65"/>
      <c r="H577" s="44"/>
      <c r="I577" s="48"/>
      <c r="J577" s="46"/>
      <c r="K577" s="46"/>
      <c r="L577" s="48"/>
      <c r="M577" s="46"/>
      <c r="N577" s="277"/>
    </row>
    <row r="578" spans="2:14" ht="20.100000000000001" customHeight="1">
      <c r="D578" s="527" t="s">
        <v>107</v>
      </c>
      <c r="E578" s="72" t="s">
        <v>2</v>
      </c>
      <c r="F578" s="73"/>
      <c r="G578" s="73"/>
      <c r="H578" s="74"/>
      <c r="I578" s="498" t="s">
        <v>108</v>
      </c>
      <c r="J578" s="499"/>
      <c r="K578" s="531" t="s">
        <v>103</v>
      </c>
      <c r="L578" s="514" t="s">
        <v>80</v>
      </c>
      <c r="M578" s="531" t="s">
        <v>109</v>
      </c>
      <c r="N578" s="529" t="s">
        <v>105</v>
      </c>
    </row>
    <row r="579" spans="2:14" ht="20.100000000000001" customHeight="1">
      <c r="D579" s="528"/>
      <c r="E579" s="512" t="s">
        <v>127</v>
      </c>
      <c r="F579" s="513"/>
      <c r="G579" s="512" t="s">
        <v>111</v>
      </c>
      <c r="H579" s="513"/>
      <c r="I579" s="500"/>
      <c r="J579" s="501"/>
      <c r="K579" s="532"/>
      <c r="L579" s="515"/>
      <c r="M579" s="532"/>
      <c r="N579" s="530"/>
    </row>
    <row r="580" spans="2:14" ht="20.100000000000001" customHeight="1">
      <c r="B580" s="260" t="s">
        <v>329</v>
      </c>
      <c r="D580" s="261" t="str">
        <f>IF(B580=0,0,VLOOKUP(B580,TRANS,3,FALSE))</f>
        <v>BRITA COMERCIAL</v>
      </c>
      <c r="E580" s="504">
        <f>IF(B580=0,0,VLOOKUP(B580,TRANS,5,FALSE))</f>
        <v>0.33</v>
      </c>
      <c r="F580" s="505"/>
      <c r="G580" s="502"/>
      <c r="H580" s="503"/>
      <c r="I580" s="504">
        <f>IF(B580=0,0,VLOOKUP(B580,TRANS,6,FALSE))</f>
        <v>20</v>
      </c>
      <c r="J580" s="505"/>
      <c r="K580" s="262" t="str">
        <f>IF(B580=0,0,VLOOKUP(B580,TRANS,4,FALSE))</f>
        <v>T.KM</v>
      </c>
      <c r="L580" s="55">
        <f>E580*I580</f>
        <v>6.6000000000000005</v>
      </c>
      <c r="M580" s="432">
        <f>M573*1.5</f>
        <v>3.705E-2</v>
      </c>
      <c r="N580" s="278">
        <f>ROUND(L580*M580,2)</f>
        <v>0.24</v>
      </c>
    </row>
    <row r="581" spans="2:14" ht="20.100000000000001" customHeight="1">
      <c r="B581" s="260"/>
      <c r="D581" s="261"/>
      <c r="E581" s="504"/>
      <c r="F581" s="505"/>
      <c r="G581" s="502"/>
      <c r="H581" s="503"/>
      <c r="I581" s="533"/>
      <c r="J581" s="534"/>
      <c r="K581" s="262">
        <f>IF(B581=0,0,VLOOKUP(B581,TRANS,4,FALSE))</f>
        <v>0</v>
      </c>
      <c r="L581" s="67"/>
      <c r="M581" s="189"/>
      <c r="N581" s="278"/>
    </row>
    <row r="582" spans="2:14" ht="20.100000000000001" customHeight="1">
      <c r="D582" s="98"/>
      <c r="E582" s="99"/>
      <c r="F582" s="44"/>
      <c r="G582" s="65"/>
      <c r="H582" s="44"/>
      <c r="I582" s="48"/>
      <c r="J582" s="46"/>
      <c r="K582" s="46"/>
      <c r="L582" s="48"/>
      <c r="M582" s="71" t="s">
        <v>112</v>
      </c>
      <c r="N582" s="270">
        <f>SUM(N579:N581)</f>
        <v>0.24</v>
      </c>
    </row>
    <row r="583" spans="2:14" ht="3.95" customHeight="1">
      <c r="D583" s="76"/>
      <c r="E583" s="44"/>
      <c r="F583" s="65"/>
      <c r="G583" s="44"/>
      <c r="H583" s="46"/>
      <c r="I583" s="48"/>
      <c r="J583" s="46"/>
      <c r="K583" s="46"/>
      <c r="L583" s="48"/>
      <c r="M583" s="46"/>
      <c r="N583" s="277"/>
    </row>
    <row r="584" spans="2:14" ht="20.100000000000001" customHeight="1">
      <c r="D584" s="40"/>
      <c r="E584" s="65"/>
      <c r="F584" s="65"/>
      <c r="G584" s="65"/>
      <c r="H584" s="44"/>
      <c r="I584" s="233"/>
      <c r="J584" s="143"/>
      <c r="K584" s="565" t="s">
        <v>129</v>
      </c>
      <c r="L584" s="566"/>
      <c r="M584" s="567"/>
      <c r="N584" s="279">
        <f>+N570+N576+N582</f>
        <v>2.2700000000000005</v>
      </c>
    </row>
    <row r="585" spans="2:14" ht="20.100000000000001" customHeight="1">
      <c r="D585" s="98"/>
      <c r="E585" s="144"/>
      <c r="F585" s="46"/>
      <c r="G585" s="46"/>
      <c r="H585" s="46"/>
      <c r="I585" s="48"/>
      <c r="J585" s="46"/>
      <c r="K585" s="81" t="s">
        <v>115</v>
      </c>
      <c r="L585" s="360">
        <f>DI</f>
        <v>0.26700000000000002</v>
      </c>
      <c r="M585" s="83"/>
      <c r="N585" s="279">
        <f>L585*N584</f>
        <v>0.60609000000000013</v>
      </c>
    </row>
    <row r="586" spans="2:14" ht="20.100000000000001" customHeight="1" thickBot="1">
      <c r="D586" s="102"/>
      <c r="E586" s="145"/>
      <c r="F586" s="85"/>
      <c r="G586" s="85"/>
      <c r="H586" s="85"/>
      <c r="I586" s="225"/>
      <c r="J586" s="85"/>
      <c r="K586" s="86" t="s">
        <v>173</v>
      </c>
      <c r="L586" s="280"/>
      <c r="M586" s="89"/>
      <c r="N586" s="281">
        <f>SUM(N584:N585)</f>
        <v>2.8760900000000005</v>
      </c>
    </row>
    <row r="587" spans="2:14" ht="3.95" customHeight="1" thickBot="1"/>
    <row r="588" spans="2:14" ht="20.100000000000001" customHeight="1">
      <c r="D588" s="555" t="s">
        <v>131</v>
      </c>
      <c r="E588" s="556"/>
      <c r="F588" s="556"/>
      <c r="G588" s="556"/>
      <c r="H588" s="556"/>
      <c r="I588" s="556"/>
      <c r="J588" s="557"/>
      <c r="K588" s="146" t="s">
        <v>103</v>
      </c>
      <c r="L588" s="19" t="s">
        <v>80</v>
      </c>
      <c r="M588" s="19" t="s">
        <v>104</v>
      </c>
      <c r="N588" s="297" t="s">
        <v>105</v>
      </c>
    </row>
    <row r="589" spans="2:14" ht="20.100000000000001" customHeight="1">
      <c r="B589" s="260" t="s">
        <v>362</v>
      </c>
      <c r="D589" s="264" t="str">
        <f>IF(B589=0,0,VLOOKUP(B589,MAT_BET,3,FALSE))</f>
        <v>AQUISIÇÃO EMULSÃO RR-2C</v>
      </c>
      <c r="E589" s="265"/>
      <c r="F589" s="265"/>
      <c r="G589" s="265"/>
      <c r="H589" s="265"/>
      <c r="I589" s="265"/>
      <c r="J589" s="266"/>
      <c r="K589" s="262" t="str">
        <f>IF(B589=0,0,VLOOKUP(B589,MAT_BET,4,FALSE))</f>
        <v>T</v>
      </c>
      <c r="L589" s="55">
        <f>IF(B589=0,0,VLOOKUP(B589,MAT_BET,5,FALSE))</f>
        <v>990</v>
      </c>
      <c r="M589" s="433">
        <v>3.0000000000000001E-3</v>
      </c>
      <c r="N589" s="273">
        <f>ROUND(L589*M589,2)</f>
        <v>2.97</v>
      </c>
    </row>
    <row r="590" spans="2:14" ht="20.100000000000001" customHeight="1">
      <c r="D590" s="114"/>
      <c r="E590" s="59"/>
      <c r="F590" s="59"/>
      <c r="G590" s="59"/>
      <c r="H590" s="59"/>
      <c r="I590" s="91"/>
      <c r="J590" s="115"/>
      <c r="K590" s="81" t="s">
        <v>115</v>
      </c>
      <c r="L590" s="360">
        <f>DI</f>
        <v>0.26700000000000002</v>
      </c>
      <c r="M590" s="83"/>
      <c r="N590" s="279">
        <f>L590*N589</f>
        <v>0.79299000000000008</v>
      </c>
    </row>
    <row r="591" spans="2:14" ht="20.100000000000001" customHeight="1">
      <c r="D591" s="76"/>
      <c r="E591" s="77"/>
      <c r="F591" s="77"/>
      <c r="G591" s="77"/>
      <c r="H591" s="77"/>
      <c r="I591" s="156"/>
      <c r="J591" s="116"/>
      <c r="K591" s="81" t="s">
        <v>174</v>
      </c>
      <c r="L591" s="289"/>
      <c r="M591" s="83"/>
      <c r="N591" s="279">
        <f>N589+N590</f>
        <v>3.7629900000000003</v>
      </c>
    </row>
    <row r="592" spans="2:14" ht="20.100000000000001" customHeight="1">
      <c r="D592" s="117"/>
      <c r="E592" s="118"/>
      <c r="F592" s="118"/>
      <c r="G592" s="118"/>
      <c r="H592" s="118"/>
      <c r="I592" s="94"/>
      <c r="J592" s="119"/>
      <c r="K592" s="113" t="s">
        <v>103</v>
      </c>
      <c r="L592" s="34" t="s">
        <v>80</v>
      </c>
      <c r="M592" s="34" t="s">
        <v>104</v>
      </c>
      <c r="N592" s="288" t="s">
        <v>105</v>
      </c>
    </row>
    <row r="593" spans="2:14" ht="20.100000000000001" customHeight="1">
      <c r="B593" s="260" t="s">
        <v>367</v>
      </c>
      <c r="D593" s="264" t="str">
        <f>IF(B593=0,0,VLOOKUP(B593,MAT_BET,3,FALSE))</f>
        <v>TRANSPORTE EMULSÃO RR-2C</v>
      </c>
      <c r="E593" s="265"/>
      <c r="F593" s="265"/>
      <c r="G593" s="265"/>
      <c r="H593" s="265"/>
      <c r="I593" s="265"/>
      <c r="J593" s="266"/>
      <c r="K593" s="262" t="str">
        <f>IF(B593=0,0,VLOOKUP(B593,MAT_BET,4,FALSE))</f>
        <v>T</v>
      </c>
      <c r="L593" s="55">
        <f>IF(B593=0,0,VLOOKUP(B593,MAT_BET,5,FALSE))</f>
        <v>230.69</v>
      </c>
      <c r="M593" s="433">
        <f>M589</f>
        <v>3.0000000000000001E-3</v>
      </c>
      <c r="N593" s="278">
        <f>(L593*M593)</f>
        <v>0.69206999999999996</v>
      </c>
    </row>
    <row r="594" spans="2:14" ht="20.100000000000001" customHeight="1">
      <c r="D594" s="114"/>
      <c r="E594" s="59"/>
      <c r="F594" s="59"/>
      <c r="G594" s="59"/>
      <c r="H594" s="59"/>
      <c r="I594" s="91"/>
      <c r="J594" s="115"/>
      <c r="K594" s="81" t="s">
        <v>115</v>
      </c>
      <c r="L594" s="360">
        <f>DI</f>
        <v>0.26700000000000002</v>
      </c>
      <c r="M594" s="83"/>
      <c r="N594" s="279">
        <f>L594*N593</f>
        <v>0.18478269</v>
      </c>
    </row>
    <row r="595" spans="2:14" ht="20.100000000000001" customHeight="1" thickBot="1">
      <c r="D595" s="76"/>
      <c r="E595" s="77"/>
      <c r="F595" s="77"/>
      <c r="G595" s="77"/>
      <c r="H595" s="77"/>
      <c r="I595" s="156"/>
      <c r="J595" s="116"/>
      <c r="K595" s="97" t="s">
        <v>175</v>
      </c>
      <c r="L595" s="290"/>
      <c r="M595" s="120"/>
      <c r="N595" s="291">
        <f>N593+N594</f>
        <v>0.87685268999999999</v>
      </c>
    </row>
    <row r="596" spans="2:14" ht="20.100000000000001" customHeight="1" thickBot="1">
      <c r="D596" s="121"/>
      <c r="E596" s="122"/>
      <c r="F596" s="122"/>
      <c r="G596" s="123"/>
      <c r="H596" s="122"/>
      <c r="I596" s="227"/>
      <c r="J596" s="124"/>
      <c r="K596" s="549" t="s">
        <v>134</v>
      </c>
      <c r="L596" s="549"/>
      <c r="M596" s="550"/>
      <c r="N596" s="292">
        <f>N591+N595</f>
        <v>4.63984269</v>
      </c>
    </row>
    <row r="597" spans="2:14" ht="20.100000000000001" customHeight="1">
      <c r="D597" s="126"/>
      <c r="E597" s="108"/>
      <c r="F597" s="108"/>
      <c r="G597" s="109"/>
      <c r="H597" s="108"/>
      <c r="I597" s="228" t="s">
        <v>114</v>
      </c>
      <c r="J597" s="128"/>
      <c r="K597" s="128"/>
      <c r="L597" s="354">
        <v>0.02</v>
      </c>
      <c r="M597" s="129"/>
      <c r="N597" s="294">
        <f>(N584+N589+N593)*L597</f>
        <v>0.11864140000000001</v>
      </c>
    </row>
    <row r="598" spans="2:14" ht="20.100000000000001" customHeight="1" thickBot="1">
      <c r="D598" s="130"/>
      <c r="E598" s="104"/>
      <c r="F598" s="104"/>
      <c r="G598" s="105"/>
      <c r="H598" s="104"/>
      <c r="I598" s="537" t="s">
        <v>149</v>
      </c>
      <c r="J598" s="538"/>
      <c r="K598" s="538"/>
      <c r="L598" s="538"/>
      <c r="M598" s="131"/>
      <c r="N598" s="295">
        <f>N584+N589+N593+N597</f>
        <v>6.0507114000000009</v>
      </c>
    </row>
    <row r="599" spans="2:14" ht="6" customHeight="1">
      <c r="D599" s="98"/>
      <c r="E599" s="99"/>
      <c r="F599" s="44"/>
      <c r="G599" s="65"/>
      <c r="H599" s="44"/>
      <c r="I599" s="48"/>
      <c r="J599" s="46"/>
      <c r="K599" s="46"/>
      <c r="L599" s="48"/>
      <c r="M599" s="100"/>
      <c r="N599" s="282"/>
    </row>
    <row r="600" spans="2:14" ht="20.100000000000001" customHeight="1" thickBot="1">
      <c r="D600" s="137"/>
      <c r="E600" s="138"/>
      <c r="F600" s="138"/>
      <c r="G600" s="138"/>
      <c r="H600" s="138"/>
      <c r="I600" s="232" t="s">
        <v>158</v>
      </c>
      <c r="J600" s="149"/>
      <c r="K600" s="149"/>
      <c r="L600" s="358">
        <f>DI</f>
        <v>0.26700000000000002</v>
      </c>
      <c r="M600" s="140"/>
      <c r="N600" s="295">
        <f>N598*L600+N598</f>
        <v>7.6662513438000008</v>
      </c>
    </row>
    <row r="603" spans="2:14" ht="20.100000000000001" customHeight="1" thickBot="1"/>
    <row r="604" spans="2:14" ht="19.5" customHeight="1">
      <c r="B604" s="197" t="s">
        <v>194</v>
      </c>
      <c r="D604" s="520" t="s">
        <v>233</v>
      </c>
      <c r="E604" s="521"/>
      <c r="F604" s="542" t="s">
        <v>74</v>
      </c>
      <c r="G604" s="543"/>
      <c r="H604" s="543"/>
      <c r="I604" s="543"/>
      <c r="J604" s="543"/>
      <c r="K604" s="543"/>
      <c r="L604" s="544"/>
      <c r="M604" s="19" t="s">
        <v>75</v>
      </c>
      <c r="N604" s="20" t="s">
        <v>76</v>
      </c>
    </row>
    <row r="605" spans="2:14" ht="20.100000000000001" customHeight="1">
      <c r="D605" s="522"/>
      <c r="E605" s="523"/>
      <c r="F605" s="512" t="str">
        <f>VLOOKUP(B604,Resumo_Composições,3,FALSE)</f>
        <v>TSD - TRATAMENTO SUPERFICIAL DUPLO (restauração)</v>
      </c>
      <c r="G605" s="519"/>
      <c r="H605" s="519"/>
      <c r="I605" s="519"/>
      <c r="J605" s="519"/>
      <c r="K605" s="519"/>
      <c r="L605" s="513"/>
      <c r="M605" s="24" t="str">
        <f>VLOOKUP(B604,Resumo_Composições,4,FALSE)</f>
        <v>M2</v>
      </c>
      <c r="N605" s="25">
        <f>DATA</f>
        <v>41214</v>
      </c>
    </row>
    <row r="606" spans="2:14" ht="20.100000000000001" customHeight="1">
      <c r="D606" s="26" t="s">
        <v>77</v>
      </c>
      <c r="E606" s="27"/>
      <c r="F606" s="27"/>
      <c r="G606" s="27"/>
      <c r="H606" s="28"/>
      <c r="I606" s="214" t="s">
        <v>78</v>
      </c>
      <c r="J606" s="509" t="s">
        <v>79</v>
      </c>
      <c r="K606" s="511"/>
      <c r="L606" s="535" t="s">
        <v>80</v>
      </c>
      <c r="M606" s="536"/>
      <c r="N606" s="516" t="s">
        <v>81</v>
      </c>
    </row>
    <row r="607" spans="2:14" ht="20.100000000000001" customHeight="1">
      <c r="D607" s="31"/>
      <c r="E607" s="32"/>
      <c r="F607" s="32"/>
      <c r="G607" s="32"/>
      <c r="H607" s="33"/>
      <c r="I607" s="34"/>
      <c r="J607" s="51" t="s">
        <v>82</v>
      </c>
      <c r="K607" s="51" t="s">
        <v>83</v>
      </c>
      <c r="L607" s="51" t="s">
        <v>82</v>
      </c>
      <c r="M607" s="51" t="s">
        <v>84</v>
      </c>
      <c r="N607" s="517"/>
    </row>
    <row r="608" spans="2:14" ht="20.100000000000001" customHeight="1">
      <c r="B608" s="260" t="s">
        <v>292</v>
      </c>
      <c r="D608" s="35" t="str">
        <f t="shared" ref="D608:D616" si="42">IF(B608=0,0,VLOOKUP(B608,EQUIP,3,FALSE))</f>
        <v>TRATOR AGRICOLA (77 KW)</v>
      </c>
      <c r="E608" s="36"/>
      <c r="F608" s="36"/>
      <c r="G608" s="36"/>
      <c r="H608" s="37"/>
      <c r="I608" s="215">
        <v>1</v>
      </c>
      <c r="J608" s="38">
        <v>0.22</v>
      </c>
      <c r="K608" s="38">
        <v>0.78</v>
      </c>
      <c r="L608" s="215">
        <f t="shared" ref="L608:L616" si="43">IF(B608=0,0,VLOOKUP(B608,EQUIP,6,FALSE))</f>
        <v>65.799899999999994</v>
      </c>
      <c r="M608" s="38">
        <f t="shared" ref="M608:M616" si="44">IF(B608=0,0,VLOOKUP(B608,EQUIP,7,FALSE))</f>
        <v>17.27</v>
      </c>
      <c r="N608" s="269">
        <f t="shared" ref="N608:N616" si="45">ROUND(I608*J608*L608+I608*K608*M608,2)</f>
        <v>27.95</v>
      </c>
    </row>
    <row r="609" spans="2:14" ht="20.100000000000001" customHeight="1">
      <c r="B609" s="260" t="s">
        <v>268</v>
      </c>
      <c r="D609" s="35" t="str">
        <f t="shared" si="42"/>
        <v>CARREGADEIRA DE PNEUS - 1,33 m³ (79kW)</v>
      </c>
      <c r="E609" s="36"/>
      <c r="F609" s="36"/>
      <c r="G609" s="36"/>
      <c r="H609" s="37"/>
      <c r="I609" s="215">
        <v>1</v>
      </c>
      <c r="J609" s="38">
        <v>0.08</v>
      </c>
      <c r="K609" s="38">
        <v>0.92</v>
      </c>
      <c r="L609" s="215">
        <f t="shared" si="43"/>
        <v>90.018789144050103</v>
      </c>
      <c r="M609" s="38">
        <f t="shared" si="44"/>
        <v>22.39</v>
      </c>
      <c r="N609" s="269">
        <f t="shared" si="45"/>
        <v>27.8</v>
      </c>
    </row>
    <row r="610" spans="2:14" ht="20.100000000000001" customHeight="1">
      <c r="B610" s="260" t="s">
        <v>284</v>
      </c>
      <c r="D610" s="35" t="str">
        <f t="shared" si="42"/>
        <v>ROLO COMPACTADOR - DE PNEUS AUTOPROPELIDO 21 t (97kW)</v>
      </c>
      <c r="E610" s="36"/>
      <c r="F610" s="36"/>
      <c r="G610" s="36"/>
      <c r="H610" s="37"/>
      <c r="I610" s="215">
        <v>1</v>
      </c>
      <c r="J610" s="38">
        <v>0.35</v>
      </c>
      <c r="K610" s="38">
        <v>0.65</v>
      </c>
      <c r="L610" s="215">
        <f t="shared" si="43"/>
        <v>96.39</v>
      </c>
      <c r="M610" s="38">
        <f t="shared" si="44"/>
        <v>17.27</v>
      </c>
      <c r="N610" s="269">
        <f t="shared" si="45"/>
        <v>44.96</v>
      </c>
    </row>
    <row r="611" spans="2:14" ht="20.100000000000001" customHeight="1">
      <c r="B611" s="260" t="s">
        <v>296</v>
      </c>
      <c r="D611" s="35" t="str">
        <f t="shared" si="42"/>
        <v>VASSOURA MECÂNICA REBOCÁVEL</v>
      </c>
      <c r="E611" s="36"/>
      <c r="F611" s="36"/>
      <c r="G611" s="36"/>
      <c r="H611" s="37"/>
      <c r="I611" s="215">
        <v>1</v>
      </c>
      <c r="J611" s="38">
        <v>0.22</v>
      </c>
      <c r="K611" s="38">
        <v>0.78</v>
      </c>
      <c r="L611" s="215">
        <f t="shared" si="43"/>
        <v>3.83</v>
      </c>
      <c r="M611" s="38">
        <f t="shared" si="44"/>
        <v>0</v>
      </c>
      <c r="N611" s="269">
        <f t="shared" si="45"/>
        <v>0.84</v>
      </c>
    </row>
    <row r="612" spans="2:14" ht="20.100000000000001" customHeight="1">
      <c r="B612" s="260" t="s">
        <v>274</v>
      </c>
      <c r="D612" s="35" t="str">
        <f t="shared" si="42"/>
        <v>DISTRIBUIDOR DE AGREGADOS - REBOCÁVEL</v>
      </c>
      <c r="E612" s="91"/>
      <c r="F612" s="91"/>
      <c r="G612" s="91"/>
      <c r="H612" s="92"/>
      <c r="I612" s="215">
        <v>1</v>
      </c>
      <c r="J612" s="38">
        <v>0.5</v>
      </c>
      <c r="K612" s="38">
        <v>0.5</v>
      </c>
      <c r="L612" s="215">
        <f t="shared" si="43"/>
        <v>3.26</v>
      </c>
      <c r="M612" s="38">
        <f t="shared" si="44"/>
        <v>0</v>
      </c>
      <c r="N612" s="269">
        <f t="shared" si="45"/>
        <v>1.63</v>
      </c>
    </row>
    <row r="613" spans="2:14" ht="20.100000000000001" customHeight="1">
      <c r="B613" s="260" t="s">
        <v>290</v>
      </c>
      <c r="D613" s="35" t="str">
        <f t="shared" si="42"/>
        <v>TANQUE DE ESTOCAGEM DE ASFALTO - 20.000l</v>
      </c>
      <c r="E613" s="36"/>
      <c r="F613" s="36"/>
      <c r="G613" s="36"/>
      <c r="H613" s="37"/>
      <c r="I613" s="57">
        <v>2</v>
      </c>
      <c r="J613" s="39">
        <v>1</v>
      </c>
      <c r="K613" s="39">
        <v>0</v>
      </c>
      <c r="L613" s="215">
        <f t="shared" si="43"/>
        <v>5.1100000000000003</v>
      </c>
      <c r="M613" s="38">
        <f t="shared" si="44"/>
        <v>0</v>
      </c>
      <c r="N613" s="269">
        <f t="shared" si="45"/>
        <v>10.220000000000001</v>
      </c>
    </row>
    <row r="614" spans="2:14" ht="20.100000000000001" customHeight="1">
      <c r="B614" s="260" t="s">
        <v>275</v>
      </c>
      <c r="D614" s="35" t="str">
        <f t="shared" si="42"/>
        <v>EQUIP. DISTRIBUIÇÃO DE ASFALTO MONTADO EM CAMINHÃO 150 KW</v>
      </c>
      <c r="E614" s="94"/>
      <c r="F614" s="94"/>
      <c r="G614" s="94"/>
      <c r="H614" s="95"/>
      <c r="I614" s="55">
        <v>1</v>
      </c>
      <c r="J614" s="39">
        <v>1</v>
      </c>
      <c r="K614" s="39">
        <v>0</v>
      </c>
      <c r="L614" s="215">
        <f t="shared" si="43"/>
        <v>98.34</v>
      </c>
      <c r="M614" s="38">
        <f t="shared" si="44"/>
        <v>20.47</v>
      </c>
      <c r="N614" s="269">
        <f t="shared" si="45"/>
        <v>98.34</v>
      </c>
    </row>
    <row r="615" spans="2:14" ht="20.100000000000001" customHeight="1">
      <c r="B615" s="260" t="s">
        <v>257</v>
      </c>
      <c r="D615" s="35" t="str">
        <f t="shared" si="42"/>
        <v>AQUECEDOR DE FLUIDO TÉRMICO - (8kW)</v>
      </c>
      <c r="E615" s="94"/>
      <c r="F615" s="94"/>
      <c r="G615" s="94"/>
      <c r="H615" s="95"/>
      <c r="I615" s="55">
        <v>1</v>
      </c>
      <c r="J615" s="39">
        <v>1</v>
      </c>
      <c r="K615" s="142">
        <v>0</v>
      </c>
      <c r="L615" s="215">
        <f t="shared" si="43"/>
        <v>26.331</v>
      </c>
      <c r="M615" s="38">
        <f t="shared" si="44"/>
        <v>0</v>
      </c>
      <c r="N615" s="269">
        <f t="shared" si="45"/>
        <v>26.33</v>
      </c>
    </row>
    <row r="616" spans="2:14" ht="20.100000000000001" customHeight="1">
      <c r="B616" s="260" t="s">
        <v>260</v>
      </c>
      <c r="D616" s="35" t="str">
        <f t="shared" si="42"/>
        <v>CAMINHÃO BASCULANTE - 6m³ - 10,5 t (150kW)</v>
      </c>
      <c r="E616" s="94"/>
      <c r="F616" s="94"/>
      <c r="G616" s="94"/>
      <c r="H616" s="95"/>
      <c r="I616" s="55">
        <v>0.82</v>
      </c>
      <c r="J616" s="39">
        <v>1</v>
      </c>
      <c r="K616" s="142">
        <v>0</v>
      </c>
      <c r="L616" s="215">
        <f t="shared" si="43"/>
        <v>93.9</v>
      </c>
      <c r="M616" s="38">
        <f t="shared" si="44"/>
        <v>20.47</v>
      </c>
      <c r="N616" s="269">
        <f t="shared" si="45"/>
        <v>77</v>
      </c>
    </row>
    <row r="617" spans="2:14" ht="20.100000000000001" customHeight="1">
      <c r="B617" s="260"/>
      <c r="D617" s="35"/>
      <c r="E617" s="36"/>
      <c r="F617" s="36"/>
      <c r="G617" s="36"/>
      <c r="H617" s="37"/>
      <c r="I617" s="55"/>
      <c r="J617" s="39"/>
      <c r="K617" s="142"/>
      <c r="L617" s="55"/>
      <c r="M617" s="39"/>
      <c r="N617" s="269"/>
    </row>
    <row r="618" spans="2:14" ht="20.100000000000001" customHeight="1">
      <c r="D618" s="40"/>
      <c r="E618" s="41"/>
      <c r="F618" s="41"/>
      <c r="G618" s="41"/>
      <c r="H618" s="41"/>
      <c r="I618" s="216"/>
      <c r="J618" s="41"/>
      <c r="K618" s="41"/>
      <c r="L618" s="216"/>
      <c r="M618" s="42" t="s">
        <v>89</v>
      </c>
      <c r="N618" s="270">
        <f>SUM(N608:N617)</f>
        <v>315.07</v>
      </c>
    </row>
    <row r="619" spans="2:14" ht="3.95" customHeight="1">
      <c r="D619" s="43"/>
      <c r="E619" s="44"/>
      <c r="F619" s="44"/>
      <c r="G619" s="45"/>
      <c r="H619" s="44"/>
      <c r="I619" s="217"/>
      <c r="J619" s="46"/>
      <c r="K619" s="47"/>
      <c r="L619" s="48"/>
      <c r="M619" s="48"/>
      <c r="N619" s="271"/>
    </row>
    <row r="620" spans="2:14" ht="20.100000000000001" customHeight="1">
      <c r="D620" s="49" t="s">
        <v>90</v>
      </c>
      <c r="E620" s="22"/>
      <c r="F620" s="22"/>
      <c r="G620" s="22"/>
      <c r="H620" s="22"/>
      <c r="I620" s="141"/>
      <c r="J620" s="23"/>
      <c r="K620" s="50" t="s">
        <v>91</v>
      </c>
      <c r="L620" s="51" t="s">
        <v>92</v>
      </c>
      <c r="M620" s="51" t="s">
        <v>93</v>
      </c>
      <c r="N620" s="272" t="s">
        <v>94</v>
      </c>
    </row>
    <row r="621" spans="2:14" ht="20.100000000000001" customHeight="1">
      <c r="B621" s="260" t="s">
        <v>250</v>
      </c>
      <c r="D621" s="52" t="str">
        <f>IF(B621=0,0,VLOOKUP(B621,MO,2,FALSE))</f>
        <v>ENCARREGADO DE PAVIMENTAÇÃO</v>
      </c>
      <c r="E621" s="53"/>
      <c r="F621" s="53"/>
      <c r="G621" s="53"/>
      <c r="H621" s="53"/>
      <c r="I621" s="36"/>
      <c r="J621" s="54"/>
      <c r="K621" s="39"/>
      <c r="L621" s="55">
        <v>1</v>
      </c>
      <c r="M621" s="55">
        <f>IF(B621=0,0,VLOOKUP(B621,MO,6,FALSE))</f>
        <v>44.786799999999999</v>
      </c>
      <c r="N621" s="273">
        <f>ROUND(L621*M621,2)</f>
        <v>44.79</v>
      </c>
    </row>
    <row r="622" spans="2:14" ht="20.100000000000001" customHeight="1">
      <c r="B622" s="260" t="s">
        <v>248</v>
      </c>
      <c r="D622" s="52" t="str">
        <f>IF(B622=0,0,VLOOKUP(B622,MO,2,FALSE))</f>
        <v>SERVENTE</v>
      </c>
      <c r="E622" s="53"/>
      <c r="F622" s="53"/>
      <c r="G622" s="53"/>
      <c r="H622" s="53"/>
      <c r="I622" s="36"/>
      <c r="J622" s="54"/>
      <c r="K622" s="39"/>
      <c r="L622" s="55">
        <v>6</v>
      </c>
      <c r="M622" s="55">
        <f>IF(B622=0,0,VLOOKUP(B622,MO,6,FALSE))</f>
        <v>7.9973000000000001</v>
      </c>
      <c r="N622" s="273">
        <f>ROUND(L622*M622,2)</f>
        <v>47.98</v>
      </c>
    </row>
    <row r="623" spans="2:14" ht="20.100000000000001" customHeight="1">
      <c r="B623" s="260"/>
      <c r="D623" s="52" t="s">
        <v>122</v>
      </c>
      <c r="E623" s="53"/>
      <c r="F623" s="53"/>
      <c r="G623" s="53"/>
      <c r="H623" s="53"/>
      <c r="I623" s="36"/>
      <c r="J623" s="54"/>
      <c r="K623" s="56">
        <v>0</v>
      </c>
      <c r="L623" s="57">
        <f>N621+N622</f>
        <v>92.77</v>
      </c>
      <c r="M623" s="55"/>
      <c r="N623" s="445">
        <f>ROUND(L623*K623,2)</f>
        <v>0</v>
      </c>
    </row>
    <row r="624" spans="2:14" ht="20.100000000000001" customHeight="1">
      <c r="D624" s="58"/>
      <c r="E624" s="59"/>
      <c r="F624" s="60"/>
      <c r="G624" s="60"/>
      <c r="H624" s="44"/>
      <c r="I624" s="217"/>
      <c r="J624" s="61"/>
      <c r="K624" s="47"/>
      <c r="L624" s="48"/>
      <c r="M624" s="62" t="s">
        <v>98</v>
      </c>
      <c r="N624" s="270">
        <f>SUM(N621:N623)</f>
        <v>92.77</v>
      </c>
    </row>
    <row r="625" spans="2:14" ht="3.95" customHeight="1">
      <c r="D625" s="43"/>
      <c r="E625" s="44"/>
      <c r="F625" s="44"/>
      <c r="G625" s="44"/>
      <c r="H625" s="44"/>
      <c r="I625" s="217"/>
      <c r="J625" s="61"/>
      <c r="K625" s="47"/>
      <c r="L625" s="48"/>
      <c r="M625" s="48"/>
      <c r="N625" s="271"/>
    </row>
    <row r="626" spans="2:14" ht="20.100000000000001" customHeight="1">
      <c r="D626" s="40"/>
      <c r="E626" s="60"/>
      <c r="F626" s="60"/>
      <c r="G626" s="60"/>
      <c r="H626" s="63"/>
      <c r="I626" s="218"/>
      <c r="J626" s="63"/>
      <c r="K626" s="509" t="s">
        <v>99</v>
      </c>
      <c r="L626" s="510"/>
      <c r="M626" s="511"/>
      <c r="N626" s="275">
        <f>+N618+N624</f>
        <v>407.84</v>
      </c>
    </row>
    <row r="627" spans="2:14" ht="3.95" customHeight="1">
      <c r="D627" s="64"/>
      <c r="E627" s="44"/>
      <c r="F627" s="44"/>
      <c r="G627" s="45"/>
      <c r="H627" s="44"/>
      <c r="I627" s="217"/>
      <c r="J627" s="46"/>
      <c r="K627" s="47"/>
      <c r="L627" s="48"/>
      <c r="M627" s="48"/>
      <c r="N627" s="271"/>
    </row>
    <row r="628" spans="2:14" ht="20.100000000000001" customHeight="1">
      <c r="D628" s="58"/>
      <c r="E628" s="509" t="s">
        <v>100</v>
      </c>
      <c r="F628" s="510"/>
      <c r="G628" s="510"/>
      <c r="H628" s="511"/>
      <c r="I628" s="219">
        <v>322</v>
      </c>
      <c r="J628" s="48"/>
      <c r="K628" s="506" t="s">
        <v>101</v>
      </c>
      <c r="L628" s="507"/>
      <c r="M628" s="507"/>
      <c r="N628" s="276">
        <f>ROUND(N626/I628,2)</f>
        <v>1.27</v>
      </c>
    </row>
    <row r="629" spans="2:14" ht="3.95" customHeight="1">
      <c r="D629" s="43"/>
      <c r="E629" s="44"/>
      <c r="F629" s="44"/>
      <c r="G629" s="65"/>
      <c r="H629" s="44"/>
      <c r="I629" s="48"/>
      <c r="J629" s="46"/>
      <c r="K629" s="46"/>
      <c r="L629" s="48"/>
      <c r="M629" s="46"/>
      <c r="N629" s="277"/>
    </row>
    <row r="630" spans="2:14" ht="20.100000000000001" customHeight="1">
      <c r="D630" s="49" t="s">
        <v>102</v>
      </c>
      <c r="E630" s="22"/>
      <c r="F630" s="22"/>
      <c r="G630" s="22"/>
      <c r="H630" s="22"/>
      <c r="I630" s="141"/>
      <c r="J630" s="23"/>
      <c r="K630" s="50" t="s">
        <v>103</v>
      </c>
      <c r="L630" s="51" t="s">
        <v>80</v>
      </c>
      <c r="M630" s="51" t="s">
        <v>104</v>
      </c>
      <c r="N630" s="272" t="s">
        <v>105</v>
      </c>
    </row>
    <row r="631" spans="2:14" ht="20.100000000000001" customHeight="1">
      <c r="B631" s="260" t="s">
        <v>305</v>
      </c>
      <c r="D631" s="52" t="str">
        <f>IF(B631=0,0,VLOOKUP(B631,MAT,3,FALSE))</f>
        <v>BRITA COMERCIAL</v>
      </c>
      <c r="E631" s="53"/>
      <c r="F631" s="53"/>
      <c r="G631" s="53"/>
      <c r="H631" s="53"/>
      <c r="I631" s="36"/>
      <c r="J631" s="54"/>
      <c r="K631" s="66" t="str">
        <f>IF(B631=0,0,VLOOKUP(B631,MAT,5,FALSE))</f>
        <v>M3</v>
      </c>
      <c r="L631" s="55">
        <f>IF(B631=0,0,VLOOKUP(B631,MAT,6,FALSE))</f>
        <v>30.630000000000003</v>
      </c>
      <c r="M631" s="433">
        <v>2.47E-2</v>
      </c>
      <c r="N631" s="273">
        <f>ROUND(L631*M631,2)</f>
        <v>0.76</v>
      </c>
    </row>
    <row r="632" spans="2:14" ht="20.100000000000001" customHeight="1">
      <c r="B632" s="260"/>
      <c r="D632" s="52"/>
      <c r="E632" s="53"/>
      <c r="F632" s="53"/>
      <c r="G632" s="53"/>
      <c r="H632" s="53"/>
      <c r="I632" s="36"/>
      <c r="J632" s="54"/>
      <c r="K632" s="187"/>
      <c r="L632" s="188"/>
      <c r="M632" s="69"/>
      <c r="N632" s="273"/>
    </row>
    <row r="633" spans="2:14" ht="20.100000000000001" customHeight="1">
      <c r="B633" s="260"/>
      <c r="D633" s="52"/>
      <c r="E633" s="53"/>
      <c r="F633" s="53"/>
      <c r="G633" s="53"/>
      <c r="H633" s="53"/>
      <c r="I633" s="36"/>
      <c r="J633" s="54"/>
      <c r="K633" s="66"/>
      <c r="L633" s="67"/>
      <c r="M633" s="75"/>
      <c r="N633" s="273"/>
    </row>
    <row r="634" spans="2:14" ht="20.100000000000001" customHeight="1">
      <c r="D634" s="43"/>
      <c r="E634" s="44"/>
      <c r="F634" s="44"/>
      <c r="G634" s="65"/>
      <c r="H634" s="44"/>
      <c r="I634" s="48"/>
      <c r="J634" s="46"/>
      <c r="K634" s="46"/>
      <c r="L634" s="48"/>
      <c r="M634" s="71" t="s">
        <v>106</v>
      </c>
      <c r="N634" s="270">
        <f>SUM(N631)</f>
        <v>0.76</v>
      </c>
    </row>
    <row r="635" spans="2:14" ht="3.95" customHeight="1">
      <c r="D635" s="43"/>
      <c r="E635" s="44"/>
      <c r="F635" s="44"/>
      <c r="G635" s="65"/>
      <c r="H635" s="44"/>
      <c r="I635" s="48"/>
      <c r="J635" s="46"/>
      <c r="K635" s="46"/>
      <c r="L635" s="48"/>
      <c r="M635" s="46"/>
      <c r="N635" s="277"/>
    </row>
    <row r="636" spans="2:14" ht="20.100000000000001" customHeight="1">
      <c r="D636" s="527" t="s">
        <v>107</v>
      </c>
      <c r="E636" s="72" t="s">
        <v>2</v>
      </c>
      <c r="F636" s="73"/>
      <c r="G636" s="73"/>
      <c r="H636" s="74"/>
      <c r="I636" s="498" t="s">
        <v>108</v>
      </c>
      <c r="J636" s="499"/>
      <c r="K636" s="531" t="s">
        <v>103</v>
      </c>
      <c r="L636" s="514" t="s">
        <v>80</v>
      </c>
      <c r="M636" s="531" t="s">
        <v>109</v>
      </c>
      <c r="N636" s="529" t="s">
        <v>105</v>
      </c>
    </row>
    <row r="637" spans="2:14" ht="20.100000000000001" customHeight="1">
      <c r="D637" s="528"/>
      <c r="E637" s="512" t="s">
        <v>127</v>
      </c>
      <c r="F637" s="513"/>
      <c r="G637" s="512" t="s">
        <v>111</v>
      </c>
      <c r="H637" s="513"/>
      <c r="I637" s="500"/>
      <c r="J637" s="501"/>
      <c r="K637" s="532"/>
      <c r="L637" s="515"/>
      <c r="M637" s="532"/>
      <c r="N637" s="530"/>
    </row>
    <row r="638" spans="2:14" ht="20.100000000000001" customHeight="1">
      <c r="B638" s="260" t="s">
        <v>329</v>
      </c>
      <c r="D638" s="261" t="str">
        <f>IF(B638=0,0,VLOOKUP(B638,TRANS,3,FALSE))</f>
        <v>BRITA COMERCIAL</v>
      </c>
      <c r="E638" s="504">
        <f>IF(B638=0,0,VLOOKUP(B638,TRANS,5,FALSE))</f>
        <v>0.33</v>
      </c>
      <c r="F638" s="505"/>
      <c r="G638" s="502"/>
      <c r="H638" s="503"/>
      <c r="I638" s="504">
        <f>IF(B638=0,0,VLOOKUP(B638,TRANS,6,FALSE))</f>
        <v>20</v>
      </c>
      <c r="J638" s="505"/>
      <c r="K638" s="262" t="str">
        <f>IF(B638=0,0,VLOOKUP(B638,TRANS,4,FALSE))</f>
        <v>T.KM</v>
      </c>
      <c r="L638" s="55">
        <f>E638*I638</f>
        <v>6.6000000000000005</v>
      </c>
      <c r="M638" s="432">
        <f>M631*1.5</f>
        <v>3.705E-2</v>
      </c>
      <c r="N638" s="278">
        <f>ROUND(L638*M638,2)</f>
        <v>0.24</v>
      </c>
    </row>
    <row r="639" spans="2:14" ht="20.100000000000001" customHeight="1">
      <c r="D639" s="98"/>
      <c r="E639" s="99"/>
      <c r="F639" s="44"/>
      <c r="G639" s="65"/>
      <c r="H639" s="44"/>
      <c r="I639" s="48"/>
      <c r="J639" s="46"/>
      <c r="K639" s="46"/>
      <c r="L639" s="48"/>
      <c r="M639" s="71" t="s">
        <v>112</v>
      </c>
      <c r="N639" s="270">
        <f>SUM(N637:N638)</f>
        <v>0.24</v>
      </c>
    </row>
    <row r="640" spans="2:14" ht="3.95" customHeight="1">
      <c r="D640" s="76"/>
      <c r="E640" s="44"/>
      <c r="F640" s="65"/>
      <c r="G640" s="44"/>
      <c r="H640" s="46"/>
      <c r="I640" s="48"/>
      <c r="J640" s="46"/>
      <c r="K640" s="46"/>
      <c r="L640" s="48"/>
      <c r="M640" s="46"/>
      <c r="N640" s="277"/>
    </row>
    <row r="641" spans="2:14" ht="20.100000000000001" customHeight="1">
      <c r="D641" s="40"/>
      <c r="E641" s="65"/>
      <c r="F641" s="65"/>
      <c r="G641" s="65"/>
      <c r="H641" s="44"/>
      <c r="I641" s="233"/>
      <c r="J641" s="143"/>
      <c r="K641" s="565" t="s">
        <v>129</v>
      </c>
      <c r="L641" s="566"/>
      <c r="M641" s="567"/>
      <c r="N641" s="279">
        <f>+N628+N634+N639</f>
        <v>2.2700000000000005</v>
      </c>
    </row>
    <row r="642" spans="2:14" ht="20.100000000000001" customHeight="1">
      <c r="D642" s="98"/>
      <c r="E642" s="144"/>
      <c r="F642" s="46"/>
      <c r="G642" s="46"/>
      <c r="H642" s="46"/>
      <c r="I642" s="48"/>
      <c r="J642" s="46"/>
      <c r="K642" s="81" t="s">
        <v>115</v>
      </c>
      <c r="L642" s="360">
        <f>DI</f>
        <v>0.26700000000000002</v>
      </c>
      <c r="M642" s="83"/>
      <c r="N642" s="279">
        <f>L642*N641</f>
        <v>0.60609000000000013</v>
      </c>
    </row>
    <row r="643" spans="2:14" ht="20.100000000000001" customHeight="1" thickBot="1">
      <c r="D643" s="102"/>
      <c r="E643" s="145"/>
      <c r="F643" s="85"/>
      <c r="G643" s="85"/>
      <c r="H643" s="85"/>
      <c r="I643" s="225"/>
      <c r="J643" s="85"/>
      <c r="K643" s="86" t="s">
        <v>173</v>
      </c>
      <c r="L643" s="280"/>
      <c r="M643" s="89"/>
      <c r="N643" s="281">
        <f>SUM(N641:N642)</f>
        <v>2.8760900000000005</v>
      </c>
    </row>
    <row r="644" spans="2:14" ht="3.95" customHeight="1" thickBot="1"/>
    <row r="645" spans="2:14" ht="20.100000000000001" customHeight="1">
      <c r="D645" s="555" t="s">
        <v>131</v>
      </c>
      <c r="E645" s="556"/>
      <c r="F645" s="556"/>
      <c r="G645" s="556"/>
      <c r="H645" s="556"/>
      <c r="I645" s="556"/>
      <c r="J645" s="557"/>
      <c r="K645" s="146" t="s">
        <v>103</v>
      </c>
      <c r="L645" s="19" t="s">
        <v>80</v>
      </c>
      <c r="M645" s="19" t="s">
        <v>104</v>
      </c>
      <c r="N645" s="297" t="s">
        <v>105</v>
      </c>
    </row>
    <row r="646" spans="2:14" ht="20.100000000000001" customHeight="1">
      <c r="B646" s="260" t="s">
        <v>362</v>
      </c>
      <c r="D646" s="264" t="str">
        <f>IF(B646=0,0,VLOOKUP(B646,MAT_BET,3,FALSE))</f>
        <v>AQUISIÇÃO EMULSÃO RR-2C</v>
      </c>
      <c r="E646" s="265"/>
      <c r="F646" s="265"/>
      <c r="G646" s="265"/>
      <c r="H646" s="265"/>
      <c r="I646" s="265"/>
      <c r="J646" s="266"/>
      <c r="K646" s="262" t="str">
        <f>IF(B646=0,0,VLOOKUP(B646,MAT_BET,4,FALSE))</f>
        <v>T</v>
      </c>
      <c r="L646" s="55">
        <f>IF(B646=0,0,VLOOKUP(B646,MAT_BET,5,FALSE))</f>
        <v>990</v>
      </c>
      <c r="M646" s="433">
        <v>3.0000000000000001E-3</v>
      </c>
      <c r="N646" s="273">
        <f>ROUND(L646*M646,2)</f>
        <v>2.97</v>
      </c>
    </row>
    <row r="647" spans="2:14" ht="20.100000000000001" customHeight="1">
      <c r="D647" s="114"/>
      <c r="E647" s="59"/>
      <c r="F647" s="59"/>
      <c r="G647" s="59"/>
      <c r="H647" s="59"/>
      <c r="I647" s="91"/>
      <c r="J647" s="115"/>
      <c r="K647" s="81" t="s">
        <v>115</v>
      </c>
      <c r="L647" s="360">
        <f>DI</f>
        <v>0.26700000000000002</v>
      </c>
      <c r="M647" s="83"/>
      <c r="N647" s="279">
        <f>L647*N646</f>
        <v>0.79299000000000008</v>
      </c>
    </row>
    <row r="648" spans="2:14" ht="20.100000000000001" customHeight="1">
      <c r="D648" s="76"/>
      <c r="E648" s="77"/>
      <c r="F648" s="77"/>
      <c r="G648" s="77"/>
      <c r="H648" s="77"/>
      <c r="I648" s="156"/>
      <c r="J648" s="116"/>
      <c r="K648" s="81" t="s">
        <v>174</v>
      </c>
      <c r="L648" s="289"/>
      <c r="M648" s="83"/>
      <c r="N648" s="279">
        <f>N646+N647</f>
        <v>3.7629900000000003</v>
      </c>
    </row>
    <row r="649" spans="2:14" ht="20.100000000000001" customHeight="1">
      <c r="D649" s="117"/>
      <c r="E649" s="118"/>
      <c r="F649" s="118"/>
      <c r="G649" s="118"/>
      <c r="H649" s="118"/>
      <c r="I649" s="94"/>
      <c r="J649" s="119"/>
      <c r="K649" s="113" t="s">
        <v>103</v>
      </c>
      <c r="L649" s="34" t="s">
        <v>80</v>
      </c>
      <c r="M649" s="34" t="s">
        <v>104</v>
      </c>
      <c r="N649" s="288" t="s">
        <v>105</v>
      </c>
    </row>
    <row r="650" spans="2:14" ht="20.100000000000001" customHeight="1">
      <c r="B650" s="260" t="s">
        <v>367</v>
      </c>
      <c r="D650" s="264" t="str">
        <f>IF(B650=0,0,VLOOKUP(B650,MAT_BET,3,FALSE))</f>
        <v>TRANSPORTE EMULSÃO RR-2C</v>
      </c>
      <c r="E650" s="265"/>
      <c r="F650" s="265"/>
      <c r="G650" s="265"/>
      <c r="H650" s="265"/>
      <c r="I650" s="265"/>
      <c r="J650" s="266"/>
      <c r="K650" s="262" t="str">
        <f>IF(B650=0,0,VLOOKUP(B650,MAT_BET,4,FALSE))</f>
        <v>T</v>
      </c>
      <c r="L650" s="55">
        <f>IF(B650=0,0,VLOOKUP(B650,MAT_BET,5,FALSE))</f>
        <v>230.69</v>
      </c>
      <c r="M650" s="433">
        <f>M646</f>
        <v>3.0000000000000001E-3</v>
      </c>
      <c r="N650" s="278">
        <f>(L650*M650)</f>
        <v>0.69206999999999996</v>
      </c>
    </row>
    <row r="651" spans="2:14" ht="20.100000000000001" customHeight="1">
      <c r="D651" s="114"/>
      <c r="E651" s="59"/>
      <c r="F651" s="59"/>
      <c r="G651" s="59"/>
      <c r="H651" s="59"/>
      <c r="I651" s="91"/>
      <c r="J651" s="115"/>
      <c r="K651" s="81" t="s">
        <v>115</v>
      </c>
      <c r="L651" s="360">
        <f>DI</f>
        <v>0.26700000000000002</v>
      </c>
      <c r="M651" s="83"/>
      <c r="N651" s="279">
        <f>L651*N650</f>
        <v>0.18478269</v>
      </c>
    </row>
    <row r="652" spans="2:14" ht="20.100000000000001" customHeight="1" thickBot="1">
      <c r="D652" s="76"/>
      <c r="E652" s="77"/>
      <c r="F652" s="77"/>
      <c r="G652" s="77"/>
      <c r="H652" s="77"/>
      <c r="I652" s="156"/>
      <c r="J652" s="116"/>
      <c r="K652" s="97" t="s">
        <v>175</v>
      </c>
      <c r="L652" s="290"/>
      <c r="M652" s="120"/>
      <c r="N652" s="291">
        <f>N650+N651</f>
        <v>0.87685268999999999</v>
      </c>
    </row>
    <row r="653" spans="2:14" ht="20.100000000000001" customHeight="1" thickBot="1">
      <c r="D653" s="121"/>
      <c r="E653" s="122"/>
      <c r="F653" s="122"/>
      <c r="G653" s="123"/>
      <c r="H653" s="122"/>
      <c r="I653" s="227"/>
      <c r="J653" s="124"/>
      <c r="K653" s="549" t="s">
        <v>134</v>
      </c>
      <c r="L653" s="549"/>
      <c r="M653" s="550"/>
      <c r="N653" s="292">
        <f>N648+N652</f>
        <v>4.63984269</v>
      </c>
    </row>
    <row r="654" spans="2:14" ht="20.100000000000001" customHeight="1">
      <c r="D654" s="126"/>
      <c r="E654" s="108"/>
      <c r="F654" s="108"/>
      <c r="G654" s="109"/>
      <c r="H654" s="108"/>
      <c r="I654" s="228" t="s">
        <v>114</v>
      </c>
      <c r="J654" s="128"/>
      <c r="K654" s="128"/>
      <c r="L654" s="354">
        <v>0.02</v>
      </c>
      <c r="M654" s="129"/>
      <c r="N654" s="294">
        <f>(N641+N646+N650)*L654</f>
        <v>0.11864140000000001</v>
      </c>
    </row>
    <row r="655" spans="2:14" ht="20.100000000000001" customHeight="1" thickBot="1">
      <c r="D655" s="130"/>
      <c r="E655" s="104"/>
      <c r="F655" s="104"/>
      <c r="G655" s="105"/>
      <c r="H655" s="104"/>
      <c r="I655" s="537" t="s">
        <v>149</v>
      </c>
      <c r="J655" s="538"/>
      <c r="K655" s="538"/>
      <c r="L655" s="538"/>
      <c r="M655" s="131"/>
      <c r="N655" s="295">
        <f>N641+N646+N650+N654</f>
        <v>6.0507114000000009</v>
      </c>
    </row>
    <row r="656" spans="2:14" ht="6" customHeight="1">
      <c r="D656" s="98"/>
      <c r="E656" s="99"/>
      <c r="F656" s="44"/>
      <c r="G656" s="65"/>
      <c r="H656" s="44"/>
      <c r="I656" s="48"/>
      <c r="J656" s="46"/>
      <c r="K656" s="46"/>
      <c r="L656" s="48"/>
      <c r="M656" s="100"/>
      <c r="N656" s="282"/>
    </row>
    <row r="657" spans="2:14" ht="20.100000000000001" customHeight="1" thickBot="1">
      <c r="D657" s="137"/>
      <c r="E657" s="138"/>
      <c r="F657" s="138"/>
      <c r="G657" s="138"/>
      <c r="H657" s="138"/>
      <c r="I657" s="232" t="s">
        <v>158</v>
      </c>
      <c r="J657" s="149"/>
      <c r="K657" s="149"/>
      <c r="L657" s="358">
        <f>DI</f>
        <v>0.26700000000000002</v>
      </c>
      <c r="M657" s="140"/>
      <c r="N657" s="295">
        <f>N655*L657+N655</f>
        <v>7.6662513438000008</v>
      </c>
    </row>
    <row r="658" spans="2:14" ht="20.100000000000001" customHeight="1">
      <c r="D658" s="134"/>
      <c r="E658" s="134"/>
      <c r="F658" s="134"/>
      <c r="G658" s="134"/>
      <c r="H658" s="134"/>
      <c r="I658" s="366"/>
      <c r="J658" s="148"/>
      <c r="K658" s="148"/>
      <c r="L658" s="209"/>
      <c r="M658" s="136"/>
      <c r="N658" s="367"/>
    </row>
    <row r="659" spans="2:14" ht="20.100000000000001" customHeight="1">
      <c r="D659" s="153"/>
      <c r="E659" s="153"/>
      <c r="F659" s="153"/>
      <c r="G659" s="153"/>
      <c r="H659" s="153"/>
      <c r="I659" s="234"/>
      <c r="J659" s="154"/>
      <c r="K659" s="154"/>
      <c r="L659" s="293"/>
      <c r="M659" s="100"/>
      <c r="N659" s="311"/>
    </row>
    <row r="660" spans="2:14" ht="20.100000000000001" customHeight="1" thickBot="1">
      <c r="D660" s="138"/>
      <c r="E660" s="138"/>
      <c r="F660" s="138"/>
      <c r="G660" s="138"/>
      <c r="H660" s="138"/>
      <c r="I660" s="368"/>
      <c r="J660" s="149"/>
      <c r="K660" s="149"/>
      <c r="L660" s="212"/>
      <c r="M660" s="140"/>
      <c r="N660" s="312"/>
    </row>
    <row r="661" spans="2:14" ht="20.100000000000001" customHeight="1">
      <c r="B661" s="197" t="s">
        <v>195</v>
      </c>
      <c r="D661" s="539" t="s">
        <v>234</v>
      </c>
      <c r="E661" s="540"/>
      <c r="F661" s="542" t="s">
        <v>74</v>
      </c>
      <c r="G661" s="543"/>
      <c r="H661" s="543"/>
      <c r="I661" s="543"/>
      <c r="J661" s="543"/>
      <c r="K661" s="543"/>
      <c r="L661" s="544"/>
      <c r="M661" s="19" t="s">
        <v>75</v>
      </c>
      <c r="N661" s="20" t="s">
        <v>76</v>
      </c>
    </row>
    <row r="662" spans="2:14" ht="20.100000000000001" customHeight="1">
      <c r="D662" s="541"/>
      <c r="E662" s="501"/>
      <c r="F662" s="512" t="str">
        <f>VLOOKUP(B661,Resumo_Composições,3,FALSE)</f>
        <v>MICRORREVESTIMENTO ASFÁLTICO A FRIO - MICROFLEX 1,5 CM</v>
      </c>
      <c r="G662" s="519"/>
      <c r="H662" s="519"/>
      <c r="I662" s="519"/>
      <c r="J662" s="519"/>
      <c r="K662" s="519"/>
      <c r="L662" s="513"/>
      <c r="M662" s="24" t="str">
        <f>VLOOKUP(B661,Resumo_Composições,4,FALSE)</f>
        <v>M2</v>
      </c>
      <c r="N662" s="25">
        <f>DATA</f>
        <v>41214</v>
      </c>
    </row>
    <row r="663" spans="2:14" ht="20.100000000000001" customHeight="1">
      <c r="D663" s="568" t="s">
        <v>77</v>
      </c>
      <c r="E663" s="569"/>
      <c r="F663" s="569"/>
      <c r="G663" s="569"/>
      <c r="H663" s="499"/>
      <c r="I663" s="514" t="s">
        <v>78</v>
      </c>
      <c r="J663" s="509" t="s">
        <v>79</v>
      </c>
      <c r="K663" s="511"/>
      <c r="L663" s="29" t="s">
        <v>80</v>
      </c>
      <c r="M663" s="30"/>
      <c r="N663" s="516" t="s">
        <v>81</v>
      </c>
    </row>
    <row r="664" spans="2:14" ht="20.100000000000001" customHeight="1">
      <c r="D664" s="541"/>
      <c r="E664" s="570"/>
      <c r="F664" s="570"/>
      <c r="G664" s="570"/>
      <c r="H664" s="501"/>
      <c r="I664" s="515"/>
      <c r="J664" s="51" t="s">
        <v>82</v>
      </c>
      <c r="K664" s="51" t="s">
        <v>83</v>
      </c>
      <c r="L664" s="51" t="s">
        <v>82</v>
      </c>
      <c r="M664" s="51" t="s">
        <v>84</v>
      </c>
      <c r="N664" s="517"/>
    </row>
    <row r="665" spans="2:14" ht="20.100000000000001" customHeight="1">
      <c r="B665" s="260" t="s">
        <v>292</v>
      </c>
      <c r="D665" s="35" t="str">
        <f t="shared" ref="D665:D673" si="46">IF(B665=0,0,VLOOKUP(B665,EQUIP,3,FALSE))</f>
        <v>TRATOR AGRICOLA (77 KW)</v>
      </c>
      <c r="E665" s="36"/>
      <c r="F665" s="36"/>
      <c r="G665" s="36"/>
      <c r="H665" s="37"/>
      <c r="I665" s="215">
        <v>1</v>
      </c>
      <c r="J665" s="38">
        <v>0.19</v>
      </c>
      <c r="K665" s="38">
        <v>0.81</v>
      </c>
      <c r="L665" s="215">
        <f t="shared" ref="L665:L673" si="47">IF(B665=0,0,VLOOKUP(B665,EQUIP,6,FALSE))</f>
        <v>65.799899999999994</v>
      </c>
      <c r="M665" s="38">
        <f t="shared" ref="M665:M673" si="48">IF(B665=0,0,VLOOKUP(B665,EQUIP,7,FALSE))</f>
        <v>17.27</v>
      </c>
      <c r="N665" s="269">
        <f t="shared" ref="N665:N673" si="49">ROUND(I665*J665*L665+I665*K665*M665,2)</f>
        <v>26.49</v>
      </c>
    </row>
    <row r="666" spans="2:14" ht="20.100000000000001" customHeight="1">
      <c r="B666" s="260" t="s">
        <v>268</v>
      </c>
      <c r="D666" s="35" t="str">
        <f t="shared" si="46"/>
        <v>CARREGADEIRA DE PNEUS - 1,33 m³ (79kW)</v>
      </c>
      <c r="E666" s="36"/>
      <c r="F666" s="36"/>
      <c r="G666" s="36"/>
      <c r="H666" s="37"/>
      <c r="I666" s="215">
        <v>1</v>
      </c>
      <c r="J666" s="38">
        <v>0.08</v>
      </c>
      <c r="K666" s="38">
        <v>0.92</v>
      </c>
      <c r="L666" s="215">
        <f t="shared" si="47"/>
        <v>90.018789144050103</v>
      </c>
      <c r="M666" s="38">
        <f t="shared" si="48"/>
        <v>22.39</v>
      </c>
      <c r="N666" s="269">
        <f t="shared" si="49"/>
        <v>27.8</v>
      </c>
    </row>
    <row r="667" spans="2:14" ht="20.100000000000001" customHeight="1">
      <c r="B667" s="260" t="s">
        <v>289</v>
      </c>
      <c r="D667" s="35" t="str">
        <f t="shared" si="46"/>
        <v>ROLO DE PNEUS 21 T</v>
      </c>
      <c r="E667" s="36"/>
      <c r="F667" s="36"/>
      <c r="G667" s="36"/>
      <c r="H667" s="37"/>
      <c r="I667" s="215">
        <v>1</v>
      </c>
      <c r="J667" s="38">
        <v>0.62</v>
      </c>
      <c r="K667" s="38">
        <v>0.38</v>
      </c>
      <c r="L667" s="215">
        <f t="shared" si="47"/>
        <v>96.39</v>
      </c>
      <c r="M667" s="38">
        <f t="shared" si="48"/>
        <v>17.27</v>
      </c>
      <c r="N667" s="269">
        <f t="shared" si="49"/>
        <v>66.319999999999993</v>
      </c>
    </row>
    <row r="668" spans="2:14" ht="20.100000000000001" customHeight="1">
      <c r="B668" s="260" t="s">
        <v>295</v>
      </c>
      <c r="D668" s="35" t="str">
        <f t="shared" si="46"/>
        <v>VASSOURA</v>
      </c>
      <c r="E668" s="36"/>
      <c r="F668" s="36"/>
      <c r="G668" s="36"/>
      <c r="H668" s="37"/>
      <c r="I668" s="215">
        <v>1</v>
      </c>
      <c r="J668" s="38">
        <v>0.19</v>
      </c>
      <c r="K668" s="38">
        <v>0.81</v>
      </c>
      <c r="L668" s="215">
        <f t="shared" si="47"/>
        <v>3.83</v>
      </c>
      <c r="M668" s="38">
        <f t="shared" si="48"/>
        <v>0</v>
      </c>
      <c r="N668" s="269">
        <f t="shared" si="49"/>
        <v>0.73</v>
      </c>
    </row>
    <row r="669" spans="2:14" ht="20.100000000000001" customHeight="1">
      <c r="B669" s="260" t="s">
        <v>290</v>
      </c>
      <c r="D669" s="35" t="str">
        <f t="shared" si="46"/>
        <v>TANQUE DE ESTOCAGEM DE ASFALTO - 20.000l</v>
      </c>
      <c r="E669" s="36"/>
      <c r="F669" s="36"/>
      <c r="G669" s="36"/>
      <c r="H669" s="37"/>
      <c r="I669" s="215">
        <v>2</v>
      </c>
      <c r="J669" s="39">
        <v>1</v>
      </c>
      <c r="K669" s="39">
        <v>0</v>
      </c>
      <c r="L669" s="215">
        <f t="shared" si="47"/>
        <v>5.1100000000000003</v>
      </c>
      <c r="M669" s="38">
        <f t="shared" si="48"/>
        <v>0</v>
      </c>
      <c r="N669" s="269">
        <f t="shared" si="49"/>
        <v>10.220000000000001</v>
      </c>
    </row>
    <row r="670" spans="2:14" ht="20.100000000000001" customHeight="1">
      <c r="B670" s="260" t="s">
        <v>264</v>
      </c>
      <c r="D670" s="35" t="str">
        <f t="shared" si="46"/>
        <v>CAMINHÃO P/ LA COM RUPT. CONTROLADA</v>
      </c>
      <c r="E670" s="36"/>
      <c r="F670" s="36"/>
      <c r="G670" s="36"/>
      <c r="H670" s="37"/>
      <c r="I670" s="215">
        <v>1</v>
      </c>
      <c r="J670" s="38">
        <v>1</v>
      </c>
      <c r="K670" s="38">
        <v>0</v>
      </c>
      <c r="L670" s="215">
        <f t="shared" si="47"/>
        <v>269.47000000000003</v>
      </c>
      <c r="M670" s="38">
        <f t="shared" si="48"/>
        <v>21.75</v>
      </c>
      <c r="N670" s="269">
        <f t="shared" si="49"/>
        <v>269.47000000000003</v>
      </c>
    </row>
    <row r="671" spans="2:14" ht="20.100000000000001" customHeight="1">
      <c r="B671" s="260" t="s">
        <v>262</v>
      </c>
      <c r="D671" s="35" t="str">
        <f t="shared" si="46"/>
        <v>CAMINHÃO BASCULANTE 10m3 - 15 T (170 KW)</v>
      </c>
      <c r="E671" s="36"/>
      <c r="F671" s="36"/>
      <c r="G671" s="36"/>
      <c r="H671" s="37"/>
      <c r="I671" s="215">
        <v>7.0000000000000007E-2</v>
      </c>
      <c r="J671" s="39">
        <v>1</v>
      </c>
      <c r="K671" s="39">
        <v>0</v>
      </c>
      <c r="L671" s="215">
        <f t="shared" si="47"/>
        <v>135.83000000000001</v>
      </c>
      <c r="M671" s="38">
        <f t="shared" si="48"/>
        <v>20.47</v>
      </c>
      <c r="N671" s="269">
        <f t="shared" si="49"/>
        <v>9.51</v>
      </c>
    </row>
    <row r="672" spans="2:14" ht="20.100000000000001" customHeight="1">
      <c r="B672" s="260" t="s">
        <v>266</v>
      </c>
      <c r="D672" s="35" t="str">
        <f t="shared" si="46"/>
        <v>CAMINHÃO TANQUE 6.000 L</v>
      </c>
      <c r="E672" s="36"/>
      <c r="F672" s="36"/>
      <c r="G672" s="36"/>
      <c r="H672" s="37"/>
      <c r="I672" s="215">
        <v>1</v>
      </c>
      <c r="J672" s="38">
        <v>0.3</v>
      </c>
      <c r="K672" s="38">
        <v>0.7</v>
      </c>
      <c r="L672" s="215">
        <f t="shared" si="47"/>
        <v>86.35</v>
      </c>
      <c r="M672" s="38">
        <f t="shared" si="48"/>
        <v>20.47</v>
      </c>
      <c r="N672" s="269">
        <f t="shared" si="49"/>
        <v>40.229999999999997</v>
      </c>
    </row>
    <row r="673" spans="2:14" ht="20.100000000000001" customHeight="1">
      <c r="B673" s="260" t="s">
        <v>259</v>
      </c>
      <c r="D673" s="35" t="str">
        <f t="shared" si="46"/>
        <v>CAMINHÃO  CARROCERIA 4T (80 KW)</v>
      </c>
      <c r="E673" s="36"/>
      <c r="F673" s="36"/>
      <c r="G673" s="36"/>
      <c r="H673" s="37"/>
      <c r="I673" s="215">
        <v>1</v>
      </c>
      <c r="J673" s="38">
        <v>0.3</v>
      </c>
      <c r="K673" s="38">
        <v>0.7</v>
      </c>
      <c r="L673" s="215">
        <f t="shared" si="47"/>
        <v>101.47</v>
      </c>
      <c r="M673" s="38">
        <f t="shared" si="48"/>
        <v>20.47</v>
      </c>
      <c r="N673" s="269">
        <f t="shared" si="49"/>
        <v>44.77</v>
      </c>
    </row>
    <row r="674" spans="2:14" ht="20.100000000000001" customHeight="1">
      <c r="D674" s="40"/>
      <c r="E674" s="41"/>
      <c r="F674" s="41"/>
      <c r="G674" s="41"/>
      <c r="H674" s="41"/>
      <c r="I674" s="216"/>
      <c r="J674" s="41"/>
      <c r="K674" s="41"/>
      <c r="L674" s="216"/>
      <c r="M674" s="42" t="s">
        <v>89</v>
      </c>
      <c r="N674" s="298">
        <f>SUM(N665:N673)</f>
        <v>495.54</v>
      </c>
    </row>
    <row r="675" spans="2:14" ht="20.100000000000001" customHeight="1">
      <c r="D675" s="518" t="s">
        <v>90</v>
      </c>
      <c r="E675" s="519"/>
      <c r="F675" s="519"/>
      <c r="G675" s="519"/>
      <c r="H675" s="519"/>
      <c r="I675" s="519"/>
      <c r="J675" s="513"/>
      <c r="K675" s="50" t="s">
        <v>91</v>
      </c>
      <c r="L675" s="51" t="s">
        <v>92</v>
      </c>
      <c r="M675" s="51" t="s">
        <v>93</v>
      </c>
      <c r="N675" s="272" t="s">
        <v>94</v>
      </c>
    </row>
    <row r="676" spans="2:14" ht="20.100000000000001" customHeight="1">
      <c r="B676" s="260" t="s">
        <v>250</v>
      </c>
      <c r="D676" s="52" t="str">
        <f>IF(B676=0,0,VLOOKUP(B676,MO,2,FALSE))</f>
        <v>ENCARREGADO DE PAVIMENTAÇÃO</v>
      </c>
      <c r="E676" s="53"/>
      <c r="F676" s="53"/>
      <c r="G676" s="53"/>
      <c r="H676" s="53"/>
      <c r="I676" s="36"/>
      <c r="J676" s="54"/>
      <c r="K676" s="39"/>
      <c r="L676" s="55">
        <v>1</v>
      </c>
      <c r="M676" s="55">
        <f>IF(B676=0,0,VLOOKUP(B676,MO,6,FALSE))</f>
        <v>44.786799999999999</v>
      </c>
      <c r="N676" s="273">
        <f>ROUND(L676*M676,2)</f>
        <v>44.79</v>
      </c>
    </row>
    <row r="677" spans="2:14" ht="20.100000000000001" customHeight="1">
      <c r="B677" s="260" t="s">
        <v>248</v>
      </c>
      <c r="D677" s="52" t="str">
        <f>IF(B677=0,0,VLOOKUP(B677,MO,2,FALSE))</f>
        <v>SERVENTE</v>
      </c>
      <c r="E677" s="53"/>
      <c r="F677" s="53"/>
      <c r="G677" s="53"/>
      <c r="H677" s="53"/>
      <c r="I677" s="36"/>
      <c r="J677" s="54"/>
      <c r="K677" s="39"/>
      <c r="L677" s="57">
        <v>10</v>
      </c>
      <c r="M677" s="55">
        <f>IF(B677=0,0,VLOOKUP(B677,MO,6,FALSE))</f>
        <v>7.9973000000000001</v>
      </c>
      <c r="N677" s="273">
        <f>ROUND(L677*M677,2)</f>
        <v>79.97</v>
      </c>
    </row>
    <row r="678" spans="2:14" ht="20.100000000000001" customHeight="1">
      <c r="B678" s="260"/>
      <c r="D678" s="52" t="s">
        <v>97</v>
      </c>
      <c r="E678" s="53"/>
      <c r="F678" s="53"/>
      <c r="G678" s="53"/>
      <c r="H678" s="53"/>
      <c r="I678" s="36"/>
      <c r="J678" s="54"/>
      <c r="K678" s="56">
        <v>0.2051</v>
      </c>
      <c r="L678" s="57">
        <f>N676+N677</f>
        <v>124.75999999999999</v>
      </c>
      <c r="M678" s="55"/>
      <c r="N678" s="274">
        <f>ROUND(K678*L678,2)</f>
        <v>25.59</v>
      </c>
    </row>
    <row r="679" spans="2:14" ht="20.100000000000001" customHeight="1">
      <c r="D679" s="58"/>
      <c r="E679" s="59"/>
      <c r="F679" s="60"/>
      <c r="G679" s="60"/>
      <c r="H679" s="44"/>
      <c r="I679" s="217"/>
      <c r="J679" s="61"/>
      <c r="K679" s="47"/>
      <c r="L679" s="48"/>
      <c r="M679" s="62" t="s">
        <v>98</v>
      </c>
      <c r="N679" s="270">
        <f>SUM(N676:N678)</f>
        <v>150.35</v>
      </c>
    </row>
    <row r="680" spans="2:14" ht="3.95" customHeight="1">
      <c r="D680" s="43"/>
      <c r="E680" s="44"/>
      <c r="F680" s="44"/>
      <c r="G680" s="44"/>
      <c r="H680" s="44"/>
      <c r="I680" s="217"/>
      <c r="J680" s="61"/>
      <c r="K680" s="47"/>
      <c r="L680" s="48"/>
      <c r="M680" s="48"/>
      <c r="N680" s="271"/>
    </row>
    <row r="681" spans="2:14" ht="20.100000000000001" customHeight="1">
      <c r="D681" s="40"/>
      <c r="E681" s="60"/>
      <c r="F681" s="60"/>
      <c r="G681" s="60"/>
      <c r="H681" s="63"/>
      <c r="I681" s="218"/>
      <c r="J681" s="63"/>
      <c r="K681" s="509" t="s">
        <v>99</v>
      </c>
      <c r="L681" s="510"/>
      <c r="M681" s="511"/>
      <c r="N681" s="275">
        <f>N674+N679</f>
        <v>645.89</v>
      </c>
    </row>
    <row r="682" spans="2:14" ht="3.95" customHeight="1">
      <c r="D682" s="64"/>
      <c r="E682" s="44"/>
      <c r="F682" s="44"/>
      <c r="G682" s="45"/>
      <c r="H682" s="44"/>
      <c r="I682" s="217"/>
      <c r="J682" s="46"/>
      <c r="K682" s="47"/>
      <c r="L682" s="48"/>
      <c r="M682" s="48"/>
      <c r="N682" s="271"/>
    </row>
    <row r="683" spans="2:14" ht="20.100000000000001" customHeight="1">
      <c r="D683" s="58"/>
      <c r="E683" s="509" t="s">
        <v>100</v>
      </c>
      <c r="F683" s="510"/>
      <c r="G683" s="510"/>
      <c r="H683" s="511"/>
      <c r="I683" s="219">
        <v>600</v>
      </c>
      <c r="J683" s="48"/>
      <c r="K683" s="506" t="s">
        <v>101</v>
      </c>
      <c r="L683" s="507"/>
      <c r="M683" s="507"/>
      <c r="N683" s="276">
        <f>N681/I683</f>
        <v>1.0764833333333332</v>
      </c>
    </row>
    <row r="684" spans="2:14" ht="3.95" customHeight="1">
      <c r="D684" s="43"/>
      <c r="E684" s="44"/>
      <c r="F684" s="44"/>
      <c r="G684" s="65"/>
      <c r="H684" s="44"/>
      <c r="I684" s="48"/>
      <c r="J684" s="46"/>
      <c r="K684" s="46"/>
      <c r="L684" s="48"/>
      <c r="M684" s="46"/>
      <c r="N684" s="277"/>
    </row>
    <row r="685" spans="2:14" ht="20.100000000000001" customHeight="1">
      <c r="D685" s="21" t="s">
        <v>102</v>
      </c>
      <c r="E685" s="22"/>
      <c r="F685" s="22"/>
      <c r="G685" s="22"/>
      <c r="H685" s="22"/>
      <c r="I685" s="141"/>
      <c r="J685" s="23"/>
      <c r="K685" s="50" t="s">
        <v>103</v>
      </c>
      <c r="L685" s="51" t="s">
        <v>80</v>
      </c>
      <c r="M685" s="51" t="s">
        <v>104</v>
      </c>
      <c r="N685" s="272" t="s">
        <v>105</v>
      </c>
    </row>
    <row r="686" spans="2:14" ht="20.100000000000001" customHeight="1">
      <c r="B686" s="260" t="s">
        <v>317</v>
      </c>
      <c r="D686" s="52" t="str">
        <f>IF(B686=0,0,VLOOKUP(B686,MAT,3,FALSE))</f>
        <v>PEDRISCO</v>
      </c>
      <c r="E686" s="53"/>
      <c r="F686" s="53"/>
      <c r="G686" s="53"/>
      <c r="H686" s="53"/>
      <c r="I686" s="36"/>
      <c r="J686" s="54"/>
      <c r="K686" s="66" t="str">
        <f>IF(B686=0,0,VLOOKUP(B686,MAT,5,FALSE))</f>
        <v>M3</v>
      </c>
      <c r="L686" s="55">
        <f>IF(B686=0,0,VLOOKUP(B686,MAT,6,FALSE))</f>
        <v>37.880000000000003</v>
      </c>
      <c r="M686" s="433">
        <v>1.4999999999999999E-2</v>
      </c>
      <c r="N686" s="273">
        <f>ROUND(L686*M686,2)</f>
        <v>0.56999999999999995</v>
      </c>
    </row>
    <row r="687" spans="2:14" ht="20.100000000000001" customHeight="1">
      <c r="B687" s="260" t="s">
        <v>310</v>
      </c>
      <c r="D687" s="52" t="str">
        <f>IF(B687=0,0,VLOOKUP(B687,MAT,3,FALSE))</f>
        <v>FILLER</v>
      </c>
      <c r="E687" s="53"/>
      <c r="F687" s="53"/>
      <c r="G687" s="53"/>
      <c r="H687" s="53"/>
      <c r="I687" s="36"/>
      <c r="J687" s="54"/>
      <c r="K687" s="66" t="str">
        <f>IF(B687=0,0,VLOOKUP(B687,MAT,5,FALSE))</f>
        <v>KG</v>
      </c>
      <c r="L687" s="55">
        <f>IF(B687=0,0,VLOOKUP(B687,MAT,6,FALSE))</f>
        <v>0.05</v>
      </c>
      <c r="M687" s="433">
        <v>0.75</v>
      </c>
      <c r="N687" s="273">
        <f>ROUND(L687*M687,2)</f>
        <v>0.04</v>
      </c>
    </row>
    <row r="688" spans="2:14" ht="20.100000000000001" customHeight="1">
      <c r="B688" s="260" t="s">
        <v>300</v>
      </c>
      <c r="D688" s="52" t="str">
        <f>IF(B688=0,0,VLOOKUP(B688,MAT,3,FALSE))</f>
        <v>ADITIVO P/ CONTROLE DE RUPTURA</v>
      </c>
      <c r="E688" s="53"/>
      <c r="F688" s="53"/>
      <c r="G688" s="53"/>
      <c r="H688" s="53"/>
      <c r="I688" s="36"/>
      <c r="J688" s="54"/>
      <c r="K688" s="66" t="str">
        <f>IF(B688=0,0,VLOOKUP(B688,MAT,5,FALSE))</f>
        <v>KG</v>
      </c>
      <c r="L688" s="55">
        <f>IF(B688=0,0,VLOOKUP(B688,MAT,6,FALSE))</f>
        <v>3.3291000000000004</v>
      </c>
      <c r="M688" s="433">
        <v>0.27</v>
      </c>
      <c r="N688" s="273">
        <f>ROUND(L688*M688,2)</f>
        <v>0.9</v>
      </c>
    </row>
    <row r="689" spans="2:14" ht="20.100000000000001" customHeight="1">
      <c r="B689" s="260" t="s">
        <v>301</v>
      </c>
      <c r="D689" s="52" t="str">
        <f>IF(B689=0,0,VLOOKUP(B689,MAT,3,FALSE))</f>
        <v>ADITIVO SÓLIDO (FIBRAS )</v>
      </c>
      <c r="E689" s="53"/>
      <c r="F689" s="53"/>
      <c r="G689" s="53"/>
      <c r="H689" s="53"/>
      <c r="I689" s="36"/>
      <c r="J689" s="54"/>
      <c r="K689" s="66" t="str">
        <f>IF(B689=0,0,VLOOKUP(B689,MAT,5,FALSE))</f>
        <v>KG</v>
      </c>
      <c r="L689" s="55">
        <f>IF(B689=0,0,VLOOKUP(B689,MAT,6,FALSE))</f>
        <v>3.7</v>
      </c>
      <c r="M689" s="432">
        <v>0.13500000000000001</v>
      </c>
      <c r="N689" s="273">
        <f>ROUND(L689*M689,2)</f>
        <v>0.5</v>
      </c>
    </row>
    <row r="690" spans="2:14" ht="20.100000000000001" customHeight="1">
      <c r="D690" s="43"/>
      <c r="E690" s="44"/>
      <c r="F690" s="44"/>
      <c r="G690" s="65"/>
      <c r="H690" s="44"/>
      <c r="I690" s="48"/>
      <c r="J690" s="46"/>
      <c r="K690" s="46"/>
      <c r="L690" s="48"/>
      <c r="M690" s="71" t="s">
        <v>106</v>
      </c>
      <c r="N690" s="270">
        <f>SUM(N686:N689)</f>
        <v>2.0099999999999998</v>
      </c>
    </row>
    <row r="691" spans="2:14" ht="3.95" customHeight="1">
      <c r="D691" s="43"/>
      <c r="E691" s="44"/>
      <c r="F691" s="44"/>
      <c r="G691" s="65"/>
      <c r="H691" s="44"/>
      <c r="I691" s="48"/>
      <c r="J691" s="46"/>
      <c r="K691" s="46"/>
      <c r="L691" s="48"/>
      <c r="M691" s="46"/>
      <c r="N691" s="277"/>
    </row>
    <row r="692" spans="2:14" ht="20.100000000000001" customHeight="1">
      <c r="D692" s="527" t="s">
        <v>107</v>
      </c>
      <c r="E692" s="72" t="s">
        <v>2</v>
      </c>
      <c r="F692" s="73"/>
      <c r="G692" s="73"/>
      <c r="H692" s="74"/>
      <c r="I692" s="498" t="s">
        <v>108</v>
      </c>
      <c r="J692" s="499"/>
      <c r="K692" s="531" t="s">
        <v>103</v>
      </c>
      <c r="L692" s="514" t="s">
        <v>80</v>
      </c>
      <c r="M692" s="531" t="s">
        <v>109</v>
      </c>
      <c r="N692" s="529" t="s">
        <v>105</v>
      </c>
    </row>
    <row r="693" spans="2:14" ht="20.100000000000001" customHeight="1">
      <c r="D693" s="528"/>
      <c r="E693" s="512" t="s">
        <v>127</v>
      </c>
      <c r="F693" s="513"/>
      <c r="G693" s="512" t="s">
        <v>111</v>
      </c>
      <c r="H693" s="513"/>
      <c r="I693" s="500"/>
      <c r="J693" s="501"/>
      <c r="K693" s="532"/>
      <c r="L693" s="515"/>
      <c r="M693" s="532"/>
      <c r="N693" s="530"/>
    </row>
    <row r="694" spans="2:14" ht="20.100000000000001" customHeight="1">
      <c r="B694" s="260" t="s">
        <v>339</v>
      </c>
      <c r="D694" s="261" t="str">
        <f>IF(B694=0,0,VLOOKUP(B694,TRANS,3,FALSE))</f>
        <v>PEDRISCO</v>
      </c>
      <c r="E694" s="504">
        <f>IF(B694=0,0,VLOOKUP(B694,TRANS,5,FALSE))</f>
        <v>0.33</v>
      </c>
      <c r="F694" s="505"/>
      <c r="G694" s="502"/>
      <c r="H694" s="503"/>
      <c r="I694" s="504">
        <f>IF(B694=0,0,VLOOKUP(B694,TRANS,6,FALSE))</f>
        <v>45.53</v>
      </c>
      <c r="J694" s="505"/>
      <c r="K694" s="262" t="str">
        <f>IF(B694=0,0,VLOOKUP(B694,TRANS,4,FALSE))</f>
        <v>T.KM</v>
      </c>
      <c r="L694" s="67">
        <f>E694*I694</f>
        <v>15.024900000000001</v>
      </c>
      <c r="M694" s="70">
        <f>M686*1.5</f>
        <v>2.2499999999999999E-2</v>
      </c>
      <c r="N694" s="278">
        <f>ROUND(L694*M694,2)</f>
        <v>0.34</v>
      </c>
    </row>
    <row r="695" spans="2:14" ht="20.100000000000001" customHeight="1">
      <c r="B695" s="260" t="s">
        <v>334</v>
      </c>
      <c r="D695" s="261" t="str">
        <f>IF(B695=0,0,VLOOKUP(B695,TRANS,3,FALSE))</f>
        <v>FILLER</v>
      </c>
      <c r="E695" s="504">
        <f>IF(B695=0,0,VLOOKUP(B695,TRANS,5,FALSE))</f>
        <v>0.24</v>
      </c>
      <c r="F695" s="505"/>
      <c r="G695" s="502"/>
      <c r="H695" s="503"/>
      <c r="I695" s="504">
        <f>IF(B695=0,0,VLOOKUP(B695,TRANS,6,FALSE))</f>
        <v>50</v>
      </c>
      <c r="J695" s="505"/>
      <c r="K695" s="262" t="str">
        <f>IF(B695=0,0,VLOOKUP(B695,TRANS,4,FALSE))</f>
        <v>T.KM</v>
      </c>
      <c r="L695" s="67">
        <f>E695*I695</f>
        <v>12</v>
      </c>
      <c r="M695" s="70">
        <f>M687/1000</f>
        <v>7.5000000000000002E-4</v>
      </c>
      <c r="N695" s="278">
        <f>ROUND(L695*M695,2)</f>
        <v>0.01</v>
      </c>
    </row>
    <row r="696" spans="2:14" ht="20.100000000000001" customHeight="1">
      <c r="B696" s="260"/>
      <c r="D696" s="261"/>
      <c r="E696" s="504"/>
      <c r="F696" s="505"/>
      <c r="G696" s="502"/>
      <c r="H696" s="503"/>
      <c r="I696" s="533"/>
      <c r="J696" s="534"/>
      <c r="K696" s="262">
        <f>IF(B696=0,0,VLOOKUP(B696,TRANS,4,FALSE))</f>
        <v>0</v>
      </c>
      <c r="L696" s="67"/>
      <c r="M696" s="70"/>
      <c r="N696" s="278"/>
    </row>
    <row r="697" spans="2:14" ht="20.100000000000001" customHeight="1">
      <c r="D697" s="98"/>
      <c r="E697" s="99"/>
      <c r="F697" s="44"/>
      <c r="G697" s="65"/>
      <c r="H697" s="44"/>
      <c r="I697" s="48"/>
      <c r="J697" s="46"/>
      <c r="K697" s="46"/>
      <c r="L697" s="48"/>
      <c r="M697" s="71" t="s">
        <v>112</v>
      </c>
      <c r="N697" s="270">
        <f>SUM(N694:N695)</f>
        <v>0.35000000000000003</v>
      </c>
    </row>
    <row r="698" spans="2:14" ht="3.95" customHeight="1">
      <c r="D698" s="76"/>
      <c r="E698" s="44"/>
      <c r="F698" s="65"/>
      <c r="G698" s="44"/>
      <c r="H698" s="46"/>
      <c r="I698" s="48"/>
      <c r="J698" s="46"/>
      <c r="K698" s="46"/>
      <c r="L698" s="48"/>
      <c r="M698" s="46"/>
      <c r="N698" s="277"/>
    </row>
    <row r="699" spans="2:14" ht="20.100000000000001" customHeight="1">
      <c r="D699" s="40"/>
      <c r="E699" s="65"/>
      <c r="F699" s="65"/>
      <c r="G699" s="65"/>
      <c r="H699" s="44"/>
      <c r="I699" s="233"/>
      <c r="J699" s="143"/>
      <c r="K699" s="565" t="s">
        <v>129</v>
      </c>
      <c r="L699" s="566"/>
      <c r="M699" s="567"/>
      <c r="N699" s="279">
        <f>+N683+N690+N697</f>
        <v>3.4364833333333329</v>
      </c>
    </row>
    <row r="700" spans="2:14" ht="20.100000000000001" customHeight="1">
      <c r="D700" s="98"/>
      <c r="E700" s="144"/>
      <c r="F700" s="46"/>
      <c r="G700" s="46"/>
      <c r="H700" s="46"/>
      <c r="I700" s="48"/>
      <c r="J700" s="46"/>
      <c r="K700" s="81" t="s">
        <v>115</v>
      </c>
      <c r="L700" s="360">
        <f>DI</f>
        <v>0.26700000000000002</v>
      </c>
      <c r="M700" s="83"/>
      <c r="N700" s="279">
        <f>L700*N699</f>
        <v>0.91754104999999997</v>
      </c>
    </row>
    <row r="701" spans="2:14" ht="20.100000000000001" customHeight="1" thickBot="1">
      <c r="D701" s="102"/>
      <c r="E701" s="145"/>
      <c r="F701" s="85"/>
      <c r="G701" s="85"/>
      <c r="H701" s="85"/>
      <c r="I701" s="225"/>
      <c r="J701" s="85"/>
      <c r="K701" s="86" t="s">
        <v>147</v>
      </c>
      <c r="L701" s="280"/>
      <c r="M701" s="89"/>
      <c r="N701" s="281">
        <f>SUM(N699:N700)</f>
        <v>4.354024383333333</v>
      </c>
    </row>
    <row r="702" spans="2:14" ht="3.95" customHeight="1" thickBot="1"/>
    <row r="703" spans="2:14" ht="20.100000000000001" customHeight="1">
      <c r="D703" s="555" t="s">
        <v>131</v>
      </c>
      <c r="E703" s="556"/>
      <c r="F703" s="556"/>
      <c r="G703" s="556"/>
      <c r="H703" s="556"/>
      <c r="I703" s="556"/>
      <c r="J703" s="557"/>
      <c r="K703" s="146" t="s">
        <v>103</v>
      </c>
      <c r="L703" s="19" t="s">
        <v>80</v>
      </c>
      <c r="M703" s="19" t="s">
        <v>104</v>
      </c>
      <c r="N703" s="297" t="s">
        <v>105</v>
      </c>
    </row>
    <row r="704" spans="2:14" ht="20.100000000000001" customHeight="1">
      <c r="B704" s="260" t="s">
        <v>360</v>
      </c>
      <c r="D704" s="264" t="str">
        <f>IF(B704=0,0,VLOOKUP(B704,MAT_BET,3,FALSE))</f>
        <v>AQUISIÇÃO EMULSÃO C/3,4% DE POLÍMEROS</v>
      </c>
      <c r="E704" s="265"/>
      <c r="F704" s="265"/>
      <c r="G704" s="265"/>
      <c r="H704" s="265"/>
      <c r="I704" s="265"/>
      <c r="J704" s="266"/>
      <c r="K704" s="262" t="str">
        <f>IF(B704=0,0,VLOOKUP(B704,MAT_BET,4,FALSE))</f>
        <v>T</v>
      </c>
      <c r="L704" s="67">
        <f>IF(B704=0,0,VLOOKUP(B704,MAT_BET,5,FALSE))</f>
        <v>2050</v>
      </c>
      <c r="M704" s="68">
        <v>2.7000000000000001E-3</v>
      </c>
      <c r="N704" s="273">
        <f>ROUND(L704*M704,2)</f>
        <v>5.54</v>
      </c>
    </row>
    <row r="705" spans="2:14" ht="20.100000000000001" customHeight="1">
      <c r="D705" s="114"/>
      <c r="E705" s="59"/>
      <c r="F705" s="59"/>
      <c r="G705" s="59"/>
      <c r="H705" s="59"/>
      <c r="I705" s="91"/>
      <c r="J705" s="115"/>
      <c r="K705" s="81" t="s">
        <v>115</v>
      </c>
      <c r="L705" s="360">
        <f>DI</f>
        <v>0.26700000000000002</v>
      </c>
      <c r="M705" s="83"/>
      <c r="N705" s="279">
        <f>L705*N704</f>
        <v>1.4791800000000002</v>
      </c>
    </row>
    <row r="706" spans="2:14" ht="20.100000000000001" customHeight="1">
      <c r="D706" s="76"/>
      <c r="E706" s="77"/>
      <c r="F706" s="77"/>
      <c r="G706" s="77"/>
      <c r="H706" s="77"/>
      <c r="I706" s="156"/>
      <c r="J706" s="116"/>
      <c r="K706" s="81" t="s">
        <v>181</v>
      </c>
      <c r="L706" s="289"/>
      <c r="M706" s="83"/>
      <c r="N706" s="279">
        <f>N704+N705</f>
        <v>7.0191800000000004</v>
      </c>
    </row>
    <row r="707" spans="2:14" ht="20.100000000000001" customHeight="1">
      <c r="D707" s="117"/>
      <c r="E707" s="118"/>
      <c r="F707" s="118"/>
      <c r="G707" s="118"/>
      <c r="H707" s="118"/>
      <c r="I707" s="94"/>
      <c r="J707" s="119"/>
      <c r="K707" s="113" t="s">
        <v>103</v>
      </c>
      <c r="L707" s="34" t="s">
        <v>80</v>
      </c>
      <c r="M707" s="34" t="s">
        <v>104</v>
      </c>
      <c r="N707" s="288" t="s">
        <v>105</v>
      </c>
    </row>
    <row r="708" spans="2:14" ht="20.100000000000001" customHeight="1">
      <c r="B708" s="260" t="s">
        <v>365</v>
      </c>
      <c r="D708" s="264" t="str">
        <f>IF(B708=0,0,VLOOKUP(B708,MAT_BET,3,FALSE))</f>
        <v>TRANSPORTE EMULSÃO C/3,4% DE POLÍMEROS</v>
      </c>
      <c r="E708" s="265"/>
      <c r="F708" s="265"/>
      <c r="G708" s="265"/>
      <c r="H708" s="265"/>
      <c r="I708" s="265"/>
      <c r="J708" s="266"/>
      <c r="K708" s="262" t="str">
        <f>IF(B708=0,0,VLOOKUP(B708,MAT_BET,4,FALSE))</f>
        <v>T</v>
      </c>
      <c r="L708" s="67">
        <f>IF(B708=0,0,VLOOKUP(B708,MAT_BET,5,FALSE))</f>
        <v>230.69</v>
      </c>
      <c r="M708" s="68">
        <v>2.7000000000000001E-3</v>
      </c>
      <c r="N708" s="278">
        <f>(L708*M708)</f>
        <v>0.62286300000000006</v>
      </c>
    </row>
    <row r="709" spans="2:14" ht="20.100000000000001" customHeight="1">
      <c r="D709" s="114"/>
      <c r="E709" s="59"/>
      <c r="F709" s="59"/>
      <c r="G709" s="59"/>
      <c r="H709" s="59"/>
      <c r="I709" s="91"/>
      <c r="J709" s="115"/>
      <c r="K709" s="81" t="s">
        <v>115</v>
      </c>
      <c r="L709" s="360">
        <f>DI</f>
        <v>0.26700000000000002</v>
      </c>
      <c r="M709" s="83"/>
      <c r="N709" s="279">
        <f>L709*N708</f>
        <v>0.16630442100000004</v>
      </c>
    </row>
    <row r="710" spans="2:14" ht="20.100000000000001" customHeight="1" thickBot="1">
      <c r="D710" s="76"/>
      <c r="E710" s="77"/>
      <c r="F710" s="77"/>
      <c r="G710" s="77"/>
      <c r="H710" s="77"/>
      <c r="I710" s="156"/>
      <c r="J710" s="116"/>
      <c r="K710" s="97" t="s">
        <v>182</v>
      </c>
      <c r="L710" s="290"/>
      <c r="M710" s="120"/>
      <c r="N710" s="291">
        <f>N708+N709</f>
        <v>0.78916742100000015</v>
      </c>
    </row>
    <row r="711" spans="2:14" ht="20.100000000000001" customHeight="1" thickBot="1">
      <c r="D711" s="121"/>
      <c r="E711" s="122"/>
      <c r="F711" s="122"/>
      <c r="G711" s="123"/>
      <c r="H711" s="122"/>
      <c r="I711" s="227"/>
      <c r="J711" s="124"/>
      <c r="K711" s="549" t="s">
        <v>134</v>
      </c>
      <c r="L711" s="549"/>
      <c r="M711" s="550"/>
      <c r="N711" s="292">
        <f>N706+N710</f>
        <v>7.8083474210000006</v>
      </c>
    </row>
    <row r="712" spans="2:14" ht="20.100000000000001" customHeight="1">
      <c r="D712" s="126"/>
      <c r="E712" s="108"/>
      <c r="F712" s="108"/>
      <c r="G712" s="109"/>
      <c r="H712" s="108"/>
      <c r="I712" s="228" t="s">
        <v>114</v>
      </c>
      <c r="J712" s="128"/>
      <c r="K712" s="128"/>
      <c r="L712" s="354">
        <v>0.02</v>
      </c>
      <c r="M712" s="129"/>
      <c r="N712" s="294">
        <f>($N$699+$N$704+$N$708)*L712</f>
        <v>0.19198692666666667</v>
      </c>
    </row>
    <row r="713" spans="2:14" ht="20.100000000000001" customHeight="1" thickBot="1">
      <c r="D713" s="130"/>
      <c r="E713" s="104"/>
      <c r="F713" s="104"/>
      <c r="G713" s="105"/>
      <c r="H713" s="104"/>
      <c r="I713" s="537" t="s">
        <v>149</v>
      </c>
      <c r="J713" s="538"/>
      <c r="K713" s="538"/>
      <c r="L713" s="538"/>
      <c r="M713" s="131"/>
      <c r="N713" s="295">
        <f>N699+N704+N708+N712</f>
        <v>9.79133326</v>
      </c>
    </row>
    <row r="714" spans="2:14" ht="3.95" customHeight="1">
      <c r="D714" s="98"/>
      <c r="E714" s="99"/>
      <c r="F714" s="44"/>
      <c r="G714" s="65"/>
      <c r="H714" s="44"/>
      <c r="I714" s="48"/>
      <c r="J714" s="46"/>
      <c r="K714" s="46"/>
      <c r="L714" s="48"/>
      <c r="M714" s="100"/>
      <c r="N714" s="282"/>
    </row>
    <row r="715" spans="2:14" ht="20.100000000000001" customHeight="1" thickBot="1">
      <c r="D715" s="137"/>
      <c r="E715" s="138"/>
      <c r="F715" s="138"/>
      <c r="G715" s="138"/>
      <c r="H715" s="138"/>
      <c r="I715" s="232" t="s">
        <v>158</v>
      </c>
      <c r="J715" s="149"/>
      <c r="K715" s="149"/>
      <c r="L715" s="358">
        <f>DI</f>
        <v>0.26700000000000002</v>
      </c>
      <c r="M715" s="140"/>
      <c r="N715" s="295">
        <f>L715*N713+N713</f>
        <v>12.40561924042</v>
      </c>
    </row>
    <row r="716" spans="2:14" ht="20.100000000000001" customHeight="1">
      <c r="D716" s="134"/>
      <c r="E716" s="134"/>
      <c r="F716" s="134"/>
      <c r="G716" s="134"/>
      <c r="H716" s="134"/>
      <c r="I716" s="366"/>
      <c r="J716" s="148"/>
      <c r="K716" s="148"/>
      <c r="L716" s="209"/>
      <c r="M716" s="136"/>
      <c r="N716" s="367"/>
    </row>
    <row r="717" spans="2:14" ht="20.100000000000001" customHeight="1">
      <c r="D717" s="153"/>
      <c r="E717" s="153"/>
      <c r="F717" s="153"/>
      <c r="G717" s="153"/>
      <c r="H717" s="153"/>
      <c r="I717" s="234"/>
      <c r="J717" s="154"/>
      <c r="K717" s="154"/>
      <c r="L717" s="293"/>
      <c r="M717" s="100"/>
      <c r="N717" s="311"/>
    </row>
    <row r="718" spans="2:14" ht="20.100000000000001" customHeight="1" thickBot="1">
      <c r="D718" s="138"/>
      <c r="E718" s="138"/>
      <c r="F718" s="138"/>
      <c r="G718" s="138"/>
      <c r="H718" s="138"/>
      <c r="I718" s="368"/>
      <c r="J718" s="149"/>
      <c r="K718" s="149"/>
      <c r="L718" s="212"/>
      <c r="M718" s="140"/>
      <c r="N718" s="312"/>
    </row>
    <row r="719" spans="2:14" ht="20.100000000000001" customHeight="1">
      <c r="B719" s="197" t="s">
        <v>196</v>
      </c>
      <c r="D719" s="539"/>
      <c r="E719" s="540"/>
      <c r="F719" s="542" t="s">
        <v>74</v>
      </c>
      <c r="G719" s="543"/>
      <c r="H719" s="543"/>
      <c r="I719" s="543"/>
      <c r="J719" s="543"/>
      <c r="K719" s="543"/>
      <c r="L719" s="544"/>
      <c r="M719" s="19" t="s">
        <v>75</v>
      </c>
      <c r="N719" s="20" t="s">
        <v>76</v>
      </c>
    </row>
    <row r="720" spans="2:14" ht="20.100000000000001" customHeight="1">
      <c r="D720" s="541"/>
      <c r="E720" s="501"/>
      <c r="F720" s="512" t="str">
        <f>VLOOKUP(B719,Resumo_Composições,3,FALSE)</f>
        <v>CAMADA POROSA DE ATRITO</v>
      </c>
      <c r="G720" s="519"/>
      <c r="H720" s="519"/>
      <c r="I720" s="519"/>
      <c r="J720" s="519"/>
      <c r="K720" s="519"/>
      <c r="L720" s="513"/>
      <c r="M720" s="24" t="str">
        <f>VLOOKUP(B719,Resumo_Composições,4,FALSE)</f>
        <v>M3</v>
      </c>
      <c r="N720" s="25">
        <f>DATA</f>
        <v>41214</v>
      </c>
    </row>
    <row r="721" spans="2:14" ht="20.100000000000001" customHeight="1">
      <c r="D721" s="561" t="s">
        <v>77</v>
      </c>
      <c r="E721" s="562"/>
      <c r="F721" s="562"/>
      <c r="G721" s="562"/>
      <c r="H721" s="536"/>
      <c r="I721" s="51" t="s">
        <v>78</v>
      </c>
      <c r="J721" s="535" t="s">
        <v>79</v>
      </c>
      <c r="K721" s="536"/>
      <c r="L721" s="535" t="s">
        <v>80</v>
      </c>
      <c r="M721" s="536"/>
      <c r="N721" s="516" t="s">
        <v>81</v>
      </c>
    </row>
    <row r="722" spans="2:14" ht="20.100000000000001" customHeight="1">
      <c r="D722" s="31"/>
      <c r="E722" s="32"/>
      <c r="F722" s="32"/>
      <c r="G722" s="32"/>
      <c r="H722" s="33"/>
      <c r="I722" s="34"/>
      <c r="J722" s="34" t="s">
        <v>82</v>
      </c>
      <c r="K722" s="34" t="s">
        <v>83</v>
      </c>
      <c r="L722" s="34" t="s">
        <v>82</v>
      </c>
      <c r="M722" s="34" t="s">
        <v>84</v>
      </c>
      <c r="N722" s="517"/>
    </row>
    <row r="723" spans="2:14" ht="20.100000000000001" customHeight="1">
      <c r="B723" s="260" t="s">
        <v>292</v>
      </c>
      <c r="D723" s="35" t="str">
        <f t="shared" ref="D723:D728" si="50">IF(B723=0,0,VLOOKUP(B723,EQUIP,3,FALSE))</f>
        <v>TRATOR AGRICOLA (77 KW)</v>
      </c>
      <c r="E723" s="91"/>
      <c r="F723" s="91"/>
      <c r="G723" s="91"/>
      <c r="H723" s="92"/>
      <c r="I723" s="215">
        <v>1</v>
      </c>
      <c r="J723" s="38">
        <v>0.15</v>
      </c>
      <c r="K723" s="38">
        <f t="shared" ref="K723:K728" si="51">1-J723</f>
        <v>0.85</v>
      </c>
      <c r="L723" s="215">
        <f t="shared" ref="L723:L728" si="52">IF(B723=0,0,VLOOKUP(B723,EQUIP,6,FALSE))</f>
        <v>65.799899999999994</v>
      </c>
      <c r="M723" s="38">
        <f t="shared" ref="M723:M728" si="53">IF(B723=0,0,VLOOKUP(B723,EQUIP,7,FALSE))</f>
        <v>17.27</v>
      </c>
      <c r="N723" s="269">
        <f t="shared" ref="N723:N728" si="54">ROUND(I723*J723*L723+I723*K723*M723,2)</f>
        <v>24.55</v>
      </c>
    </row>
    <row r="724" spans="2:14" ht="20.100000000000001" customHeight="1">
      <c r="B724" s="260" t="s">
        <v>288</v>
      </c>
      <c r="D724" s="35" t="str">
        <f t="shared" si="50"/>
        <v>ROLO COMPACTADOR TANDEM VIBRAT. AUTOPROPO. 10,9 T (112 KW)</v>
      </c>
      <c r="E724" s="91"/>
      <c r="F724" s="91"/>
      <c r="G724" s="91"/>
      <c r="H724" s="92"/>
      <c r="I724" s="224">
        <v>1</v>
      </c>
      <c r="J724" s="38">
        <v>0.55000000000000004</v>
      </c>
      <c r="K724" s="38">
        <f t="shared" si="51"/>
        <v>0.44999999999999996</v>
      </c>
      <c r="L724" s="215">
        <f t="shared" si="52"/>
        <v>112.07</v>
      </c>
      <c r="M724" s="38">
        <f t="shared" si="53"/>
        <v>17.27</v>
      </c>
      <c r="N724" s="269">
        <f t="shared" si="54"/>
        <v>69.41</v>
      </c>
    </row>
    <row r="725" spans="2:14" ht="20.100000000000001" customHeight="1">
      <c r="B725" s="260" t="s">
        <v>285</v>
      </c>
      <c r="D725" s="35" t="str">
        <f t="shared" si="50"/>
        <v>ROLO COMPACTADOR DE PNEUS 21 t (97 KW)</v>
      </c>
      <c r="E725" s="91"/>
      <c r="F725" s="91"/>
      <c r="G725" s="91"/>
      <c r="H725" s="92"/>
      <c r="I725" s="224">
        <v>1</v>
      </c>
      <c r="J725" s="38">
        <v>0.55000000000000004</v>
      </c>
      <c r="K725" s="38">
        <f t="shared" si="51"/>
        <v>0.44999999999999996</v>
      </c>
      <c r="L725" s="215">
        <f t="shared" si="52"/>
        <v>96.39</v>
      </c>
      <c r="M725" s="38">
        <f t="shared" si="53"/>
        <v>17.27</v>
      </c>
      <c r="N725" s="269">
        <f t="shared" si="54"/>
        <v>60.79</v>
      </c>
    </row>
    <row r="726" spans="2:14" ht="20.100000000000001" customHeight="1">
      <c r="B726" s="260" t="s">
        <v>296</v>
      </c>
      <c r="D726" s="35" t="str">
        <f t="shared" si="50"/>
        <v>VASSOURA MECÂNICA REBOCÁVEL</v>
      </c>
      <c r="E726" s="36"/>
      <c r="F726" s="36"/>
      <c r="G726" s="36"/>
      <c r="H726" s="37"/>
      <c r="I726" s="215">
        <v>1</v>
      </c>
      <c r="J726" s="38">
        <v>0.15</v>
      </c>
      <c r="K726" s="38">
        <f t="shared" si="51"/>
        <v>0.85</v>
      </c>
      <c r="L726" s="215">
        <f t="shared" si="52"/>
        <v>3.83</v>
      </c>
      <c r="M726" s="38">
        <f t="shared" si="53"/>
        <v>0</v>
      </c>
      <c r="N726" s="269">
        <f t="shared" si="54"/>
        <v>0.56999999999999995</v>
      </c>
    </row>
    <row r="727" spans="2:14" ht="20.100000000000001" customHeight="1">
      <c r="B727" s="260" t="s">
        <v>297</v>
      </c>
      <c r="D727" s="35" t="str">
        <f t="shared" si="50"/>
        <v>VIBRO ACABADORA ASFALTO B.GREENE</v>
      </c>
      <c r="E727" s="36"/>
      <c r="F727" s="36"/>
      <c r="G727" s="36"/>
      <c r="H727" s="37"/>
      <c r="I727" s="215">
        <v>1</v>
      </c>
      <c r="J727" s="38">
        <v>0.65</v>
      </c>
      <c r="K727" s="38">
        <f t="shared" si="51"/>
        <v>0.35</v>
      </c>
      <c r="L727" s="215">
        <f t="shared" si="52"/>
        <v>357.07</v>
      </c>
      <c r="M727" s="38">
        <f t="shared" si="53"/>
        <v>227.45358999999999</v>
      </c>
      <c r="N727" s="269">
        <f t="shared" si="54"/>
        <v>311.7</v>
      </c>
    </row>
    <row r="728" spans="2:14" ht="20.100000000000001" customHeight="1">
      <c r="B728" s="260" t="s">
        <v>262</v>
      </c>
      <c r="D728" s="35" t="str">
        <f t="shared" si="50"/>
        <v>CAMINHÃO BASCULANTE 10m3 - 15 T (170 KW)</v>
      </c>
      <c r="E728" s="36"/>
      <c r="F728" s="36"/>
      <c r="G728" s="36"/>
      <c r="H728" s="37"/>
      <c r="I728" s="224">
        <v>1.7</v>
      </c>
      <c r="J728" s="38">
        <v>0.65</v>
      </c>
      <c r="K728" s="38">
        <f t="shared" si="51"/>
        <v>0.35</v>
      </c>
      <c r="L728" s="215">
        <f t="shared" si="52"/>
        <v>135.83000000000001</v>
      </c>
      <c r="M728" s="38">
        <f t="shared" si="53"/>
        <v>20.47</v>
      </c>
      <c r="N728" s="269">
        <f t="shared" si="54"/>
        <v>162.27000000000001</v>
      </c>
    </row>
    <row r="729" spans="2:14" ht="20.100000000000001" customHeight="1">
      <c r="B729" s="260"/>
      <c r="D729" s="93"/>
      <c r="E729" s="94"/>
      <c r="F729" s="94"/>
      <c r="G729" s="94"/>
      <c r="H729" s="95"/>
      <c r="I729" s="215"/>
      <c r="J729" s="38"/>
      <c r="K729" s="38"/>
      <c r="L729" s="57"/>
      <c r="M729" s="39"/>
      <c r="N729" s="269"/>
    </row>
    <row r="730" spans="2:14" ht="20.100000000000001" customHeight="1">
      <c r="D730" s="40"/>
      <c r="E730" s="41"/>
      <c r="F730" s="41"/>
      <c r="G730" s="41"/>
      <c r="H730" s="41"/>
      <c r="I730" s="216"/>
      <c r="J730" s="41"/>
      <c r="K730" s="41"/>
      <c r="L730" s="216"/>
      <c r="M730" s="42" t="s">
        <v>89</v>
      </c>
      <c r="N730" s="270">
        <f>SUM(N723:N728)</f>
        <v>629.29</v>
      </c>
    </row>
    <row r="731" spans="2:14" ht="3.95" customHeight="1">
      <c r="D731" s="43"/>
      <c r="E731" s="44"/>
      <c r="F731" s="44"/>
      <c r="G731" s="45"/>
      <c r="H731" s="44"/>
      <c r="I731" s="217"/>
      <c r="J731" s="46"/>
      <c r="K731" s="47"/>
      <c r="L731" s="48"/>
      <c r="M731" s="48"/>
      <c r="N731" s="271"/>
    </row>
    <row r="732" spans="2:14" ht="20.100000000000001" customHeight="1">
      <c r="D732" s="518" t="s">
        <v>90</v>
      </c>
      <c r="E732" s="519"/>
      <c r="F732" s="519"/>
      <c r="G732" s="519"/>
      <c r="H732" s="519"/>
      <c r="I732" s="519"/>
      <c r="J732" s="513"/>
      <c r="K732" s="50" t="s">
        <v>91</v>
      </c>
      <c r="L732" s="51" t="s">
        <v>92</v>
      </c>
      <c r="M732" s="51" t="s">
        <v>93</v>
      </c>
      <c r="N732" s="272" t="s">
        <v>94</v>
      </c>
    </row>
    <row r="733" spans="2:14" ht="20.100000000000001" customHeight="1">
      <c r="B733" s="260" t="s">
        <v>250</v>
      </c>
      <c r="D733" s="52" t="str">
        <f>IF(B733=0,0,VLOOKUP(B733,MO,2,FALSE))</f>
        <v>ENCARREGADO DE PAVIMENTAÇÃO</v>
      </c>
      <c r="E733" s="53"/>
      <c r="F733" s="53"/>
      <c r="G733" s="53"/>
      <c r="H733" s="53"/>
      <c r="I733" s="36"/>
      <c r="J733" s="54"/>
      <c r="K733" s="39"/>
      <c r="L733" s="55">
        <v>1</v>
      </c>
      <c r="M733" s="55">
        <f>IF(B733=0,0,VLOOKUP(B733,MO,6,FALSE))</f>
        <v>44.786799999999999</v>
      </c>
      <c r="N733" s="273">
        <f>ROUND(L733*M733,2)</f>
        <v>44.79</v>
      </c>
    </row>
    <row r="734" spans="2:14" ht="20.100000000000001" customHeight="1">
      <c r="B734" s="260" t="s">
        <v>248</v>
      </c>
      <c r="D734" s="52" t="str">
        <f>IF(B734=0,0,VLOOKUP(B734,MO,2,FALSE))</f>
        <v>SERVENTE</v>
      </c>
      <c r="E734" s="53"/>
      <c r="F734" s="53"/>
      <c r="G734" s="53"/>
      <c r="H734" s="53"/>
      <c r="I734" s="36"/>
      <c r="J734" s="54"/>
      <c r="K734" s="39"/>
      <c r="L734" s="55">
        <v>6</v>
      </c>
      <c r="M734" s="55">
        <f>IF(B734=0,0,VLOOKUP(B734,MO,6,FALSE))</f>
        <v>7.9973000000000001</v>
      </c>
      <c r="N734" s="273">
        <f>ROUND(L734*M734,2)</f>
        <v>47.98</v>
      </c>
    </row>
    <row r="735" spans="2:14" ht="20.100000000000001" customHeight="1">
      <c r="B735" s="260"/>
      <c r="D735" s="52" t="s">
        <v>122</v>
      </c>
      <c r="E735" s="53"/>
      <c r="F735" s="53"/>
      <c r="G735" s="53"/>
      <c r="H735" s="53"/>
      <c r="I735" s="36"/>
      <c r="J735" s="54"/>
      <c r="K735" s="56">
        <v>0</v>
      </c>
      <c r="L735" s="57">
        <f>N733+N734</f>
        <v>92.77</v>
      </c>
      <c r="M735" s="55"/>
      <c r="N735" s="445">
        <f>ROUND(L735*K735,2)</f>
        <v>0</v>
      </c>
    </row>
    <row r="736" spans="2:14" ht="20.100000000000001" customHeight="1">
      <c r="D736" s="58"/>
      <c r="E736" s="59"/>
      <c r="F736" s="60"/>
      <c r="G736" s="60"/>
      <c r="H736" s="44"/>
      <c r="I736" s="217"/>
      <c r="J736" s="61"/>
      <c r="K736" s="47"/>
      <c r="L736" s="48"/>
      <c r="M736" s="62" t="s">
        <v>98</v>
      </c>
      <c r="N736" s="270">
        <f>SUM(N733:N735)</f>
        <v>92.77</v>
      </c>
    </row>
    <row r="737" spans="2:14" ht="3.95" customHeight="1">
      <c r="D737" s="43"/>
      <c r="E737" s="44"/>
      <c r="F737" s="44"/>
      <c r="G737" s="44"/>
      <c r="H737" s="44"/>
      <c r="I737" s="217"/>
      <c r="J737" s="61"/>
      <c r="K737" s="47"/>
      <c r="L737" s="48"/>
      <c r="M737" s="48"/>
      <c r="N737" s="271"/>
    </row>
    <row r="738" spans="2:14" ht="20.100000000000001" customHeight="1">
      <c r="D738" s="40"/>
      <c r="E738" s="60"/>
      <c r="F738" s="60"/>
      <c r="G738" s="60"/>
      <c r="H738" s="63"/>
      <c r="I738" s="218"/>
      <c r="J738" s="63"/>
      <c r="K738" s="509" t="s">
        <v>99</v>
      </c>
      <c r="L738" s="510"/>
      <c r="M738" s="511"/>
      <c r="N738" s="275">
        <f>+N730+N736</f>
        <v>722.06</v>
      </c>
    </row>
    <row r="739" spans="2:14" ht="3.95" customHeight="1">
      <c r="D739" s="64"/>
      <c r="E739" s="44"/>
      <c r="F739" s="44"/>
      <c r="G739" s="45"/>
      <c r="H739" s="44"/>
      <c r="I739" s="217"/>
      <c r="J739" s="46"/>
      <c r="K739" s="47"/>
      <c r="L739" s="48"/>
      <c r="M739" s="48"/>
      <c r="N739" s="271"/>
    </row>
    <row r="740" spans="2:14" ht="20.100000000000001" customHeight="1">
      <c r="D740" s="58"/>
      <c r="E740" s="509" t="s">
        <v>100</v>
      </c>
      <c r="F740" s="510"/>
      <c r="G740" s="510"/>
      <c r="H740" s="511"/>
      <c r="I740" s="219">
        <v>75</v>
      </c>
      <c r="J740" s="48"/>
      <c r="K740" s="506" t="s">
        <v>101</v>
      </c>
      <c r="L740" s="507"/>
      <c r="M740" s="507"/>
      <c r="N740" s="276">
        <f>ROUND(N738/I740,2)</f>
        <v>9.6300000000000008</v>
      </c>
    </row>
    <row r="741" spans="2:14" ht="3.95" customHeight="1">
      <c r="D741" s="43"/>
      <c r="E741" s="44"/>
      <c r="F741" s="44"/>
      <c r="G741" s="65"/>
      <c r="H741" s="44"/>
      <c r="I741" s="48"/>
      <c r="J741" s="46"/>
      <c r="K741" s="46"/>
      <c r="L741" s="48"/>
      <c r="M741" s="46"/>
      <c r="N741" s="277"/>
    </row>
    <row r="742" spans="2:14" ht="20.100000000000001" customHeight="1">
      <c r="D742" s="49" t="s">
        <v>102</v>
      </c>
      <c r="E742" s="22"/>
      <c r="F742" s="22"/>
      <c r="G742" s="22"/>
      <c r="H742" s="22"/>
      <c r="I742" s="141"/>
      <c r="J742" s="23"/>
      <c r="K742" s="50" t="s">
        <v>103</v>
      </c>
      <c r="L742" s="51" t="s">
        <v>80</v>
      </c>
      <c r="M742" s="51" t="s">
        <v>104</v>
      </c>
      <c r="N742" s="272" t="s">
        <v>105</v>
      </c>
    </row>
    <row r="743" spans="2:14" ht="20.100000000000001" customHeight="1">
      <c r="B743" s="260" t="s">
        <v>306</v>
      </c>
      <c r="D743" s="52" t="str">
        <f>IF(B743=0,0,VLOOKUP(B743,MAT,3,FALSE))</f>
        <v>CBUQ - USINAGEM</v>
      </c>
      <c r="E743" s="53"/>
      <c r="F743" s="53"/>
      <c r="G743" s="53"/>
      <c r="H743" s="53"/>
      <c r="I743" s="36"/>
      <c r="J743" s="54"/>
      <c r="K743" s="66" t="str">
        <f>IF(B743=0,0,VLOOKUP(B743,MAT,5,FALSE))</f>
        <v>T</v>
      </c>
      <c r="L743" s="55">
        <f>IF(B743=0,0,VLOOKUP(B743,MAT,6,FALSE))</f>
        <v>40.11</v>
      </c>
      <c r="M743" s="433">
        <v>1</v>
      </c>
      <c r="N743" s="273">
        <f>ROUND(L743*M743,2)</f>
        <v>40.11</v>
      </c>
    </row>
    <row r="744" spans="2:14" ht="20.100000000000001" customHeight="1">
      <c r="B744" s="260" t="s">
        <v>305</v>
      </c>
      <c r="D744" s="52" t="str">
        <f>IF(B744=0,0,VLOOKUP(B744,MAT,3,FALSE))</f>
        <v>BRITA COMERCIAL</v>
      </c>
      <c r="E744" s="53"/>
      <c r="F744" s="53"/>
      <c r="G744" s="53"/>
      <c r="H744" s="53"/>
      <c r="I744" s="36"/>
      <c r="J744" s="54"/>
      <c r="K744" s="66" t="str">
        <f>IF(B744=0,0,VLOOKUP(B744,MAT,5,FALSE))</f>
        <v>M3</v>
      </c>
      <c r="L744" s="55">
        <f>IF(B744=0,0,VLOOKUP(B744,MAT,6,FALSE))</f>
        <v>30.630000000000003</v>
      </c>
      <c r="M744" s="433">
        <v>0.44700000000000001</v>
      </c>
      <c r="N744" s="278">
        <f>(L744*M744)</f>
        <v>13.691610000000001</v>
      </c>
    </row>
    <row r="745" spans="2:14" ht="20.100000000000001" customHeight="1">
      <c r="B745" s="260" t="s">
        <v>303</v>
      </c>
      <c r="D745" s="52" t="str">
        <f>IF(B745=0,0,VLOOKUP(B745,MAT,3,FALSE))</f>
        <v xml:space="preserve">AREIA </v>
      </c>
      <c r="E745" s="53"/>
      <c r="F745" s="53"/>
      <c r="G745" s="53"/>
      <c r="H745" s="53"/>
      <c r="I745" s="36"/>
      <c r="J745" s="54"/>
      <c r="K745" s="66" t="str">
        <f>IF(B745=0,0,VLOOKUP(B745,MAT,5,FALSE))</f>
        <v>M3</v>
      </c>
      <c r="L745" s="55">
        <f>IF(B745=0,0,VLOOKUP(B745,MAT,6,FALSE))</f>
        <v>23.28</v>
      </c>
      <c r="M745" s="433">
        <v>0.161</v>
      </c>
      <c r="N745" s="278">
        <f>(L745*M745)</f>
        <v>3.7480800000000003</v>
      </c>
    </row>
    <row r="746" spans="2:14" ht="20.100000000000001" customHeight="1">
      <c r="B746" s="260" t="s">
        <v>310</v>
      </c>
      <c r="D746" s="52" t="str">
        <f>IF(B746=0,0,VLOOKUP(B746,MAT,3,FALSE))</f>
        <v>FILLER</v>
      </c>
      <c r="E746" s="53"/>
      <c r="F746" s="53"/>
      <c r="G746" s="53"/>
      <c r="H746" s="53"/>
      <c r="I746" s="36"/>
      <c r="J746" s="54"/>
      <c r="K746" s="66" t="str">
        <f>IF(B746=0,0,VLOOKUP(B746,MAT,5,FALSE))</f>
        <v>KG</v>
      </c>
      <c r="L746" s="55">
        <f>IF(B746=0,0,VLOOKUP(B746,MAT,6,FALSE))</f>
        <v>0.05</v>
      </c>
      <c r="M746" s="433">
        <v>33</v>
      </c>
      <c r="N746" s="278">
        <f>(L746*M746)</f>
        <v>1.6500000000000001</v>
      </c>
    </row>
    <row r="747" spans="2:14" ht="20.100000000000001" customHeight="1">
      <c r="B747" s="260"/>
      <c r="D747" s="52"/>
      <c r="E747" s="53"/>
      <c r="F747" s="53"/>
      <c r="G747" s="53"/>
      <c r="H747" s="53"/>
      <c r="I747" s="36"/>
      <c r="J747" s="54"/>
      <c r="K747" s="66"/>
      <c r="L747" s="67"/>
      <c r="M747" s="75"/>
      <c r="N747" s="273"/>
    </row>
    <row r="748" spans="2:14" ht="20.100000000000001" customHeight="1">
      <c r="D748" s="43"/>
      <c r="E748" s="44"/>
      <c r="F748" s="44"/>
      <c r="G748" s="65"/>
      <c r="H748" s="44"/>
      <c r="I748" s="48"/>
      <c r="J748" s="46"/>
      <c r="K748" s="46"/>
      <c r="L748" s="48"/>
      <c r="M748" s="71" t="s">
        <v>106</v>
      </c>
      <c r="N748" s="270">
        <f>SUM(N743:N746)</f>
        <v>59.199689999999997</v>
      </c>
    </row>
    <row r="749" spans="2:14" ht="3.95" customHeight="1">
      <c r="D749" s="43"/>
      <c r="E749" s="44"/>
      <c r="F749" s="44"/>
      <c r="G749" s="65"/>
      <c r="H749" s="44"/>
      <c r="I749" s="48"/>
      <c r="J749" s="46"/>
      <c r="K749" s="46"/>
      <c r="L749" s="48"/>
      <c r="M749" s="46"/>
      <c r="N749" s="277"/>
    </row>
    <row r="750" spans="2:14" ht="20.100000000000001" customHeight="1">
      <c r="D750" s="527" t="s">
        <v>107</v>
      </c>
      <c r="E750" s="72" t="s">
        <v>2</v>
      </c>
      <c r="F750" s="73"/>
      <c r="G750" s="73"/>
      <c r="H750" s="74"/>
      <c r="I750" s="498" t="s">
        <v>108</v>
      </c>
      <c r="J750" s="499"/>
      <c r="K750" s="531" t="s">
        <v>103</v>
      </c>
      <c r="L750" s="514" t="s">
        <v>80</v>
      </c>
      <c r="M750" s="531" t="s">
        <v>109</v>
      </c>
      <c r="N750" s="529" t="s">
        <v>105</v>
      </c>
    </row>
    <row r="751" spans="2:14" ht="20.100000000000001" customHeight="1">
      <c r="D751" s="528"/>
      <c r="E751" s="512" t="s">
        <v>127</v>
      </c>
      <c r="F751" s="513"/>
      <c r="G751" s="512" t="s">
        <v>111</v>
      </c>
      <c r="H751" s="513"/>
      <c r="I751" s="500"/>
      <c r="J751" s="501"/>
      <c r="K751" s="532"/>
      <c r="L751" s="515"/>
      <c r="M751" s="532"/>
      <c r="N751" s="530"/>
    </row>
    <row r="752" spans="2:14" ht="20.100000000000001" customHeight="1">
      <c r="B752" s="260" t="s">
        <v>331</v>
      </c>
      <c r="D752" s="261" t="str">
        <f>IF(B752=0,0,VLOOKUP(B752,TRANS,3,FALSE))</f>
        <v xml:space="preserve">CBUQ </v>
      </c>
      <c r="E752" s="504">
        <f>IF(B752=0,0,VLOOKUP(B752,TRANS,5,FALSE))</f>
        <v>0.37</v>
      </c>
      <c r="F752" s="505"/>
      <c r="G752" s="553"/>
      <c r="H752" s="554"/>
      <c r="I752" s="504">
        <f>IF(B752=0,0,VLOOKUP(B752,TRANS,6,FALSE))</f>
        <v>25</v>
      </c>
      <c r="J752" s="505"/>
      <c r="K752" s="66" t="str">
        <f>IF(B752=0,0,VLOOKUP(B752,TRANS,4,FALSE))</f>
        <v>T.KM</v>
      </c>
      <c r="L752" s="55">
        <f>E752*I752</f>
        <v>9.25</v>
      </c>
      <c r="M752" s="433">
        <v>1</v>
      </c>
      <c r="N752" s="273">
        <f>ROUND(L752*M752,2)</f>
        <v>9.25</v>
      </c>
    </row>
    <row r="753" spans="2:15" ht="20.100000000000001" customHeight="1">
      <c r="B753" s="260" t="s">
        <v>328</v>
      </c>
      <c r="D753" s="261" t="str">
        <f>IF(B753=0,0,VLOOKUP(B753,TRANS,3,FALSE))</f>
        <v>BRITA ( PED - USINA )</v>
      </c>
      <c r="E753" s="504">
        <f>IF(B753=0,0,VLOOKUP(B753,TRANS,5,FALSE))</f>
        <v>0.33</v>
      </c>
      <c r="F753" s="505"/>
      <c r="G753" s="502"/>
      <c r="H753" s="503"/>
      <c r="I753" s="504">
        <f>IF(B753=0,0,VLOOKUP(B753,TRANS,6,FALSE))</f>
        <v>1</v>
      </c>
      <c r="J753" s="505"/>
      <c r="K753" s="66" t="str">
        <f>IF(B753=0,0,VLOOKUP(B753,TRANS,4,FALSE))</f>
        <v>T.KM</v>
      </c>
      <c r="L753" s="55">
        <f>(E753*I753)+H753</f>
        <v>0.33</v>
      </c>
      <c r="M753" s="433">
        <v>0.66830000000000001</v>
      </c>
      <c r="N753" s="278">
        <f>(L753*M753)</f>
        <v>0.22053900000000001</v>
      </c>
    </row>
    <row r="754" spans="2:15" ht="20.100000000000001" customHeight="1">
      <c r="B754" s="260" t="s">
        <v>326</v>
      </c>
      <c r="D754" s="261" t="str">
        <f>IF(B754=0,0,VLOOKUP(B754,TRANS,3,FALSE))</f>
        <v>AREIA ( AREAL - USINA )</v>
      </c>
      <c r="E754" s="504">
        <f>IF(B754=0,0,VLOOKUP(B754,TRANS,5,FALSE))</f>
        <v>0.33</v>
      </c>
      <c r="F754" s="505"/>
      <c r="G754" s="545"/>
      <c r="H754" s="546"/>
      <c r="I754" s="504">
        <f>IF(B754=0,0,VLOOKUP(B754,TRANS,6,FALSE))</f>
        <v>65.06</v>
      </c>
      <c r="J754" s="505"/>
      <c r="K754" s="66" t="str">
        <f>IF(B754=0,0,VLOOKUP(B754,TRANS,4,FALSE))</f>
        <v>T.KM</v>
      </c>
      <c r="L754" s="55">
        <f>(E754*I754)+H754</f>
        <v>21.469800000000003</v>
      </c>
      <c r="M754" s="433">
        <f>M745*1.5</f>
        <v>0.24149999999999999</v>
      </c>
      <c r="N754" s="278">
        <f>(L754*M754)</f>
        <v>5.1849567000000008</v>
      </c>
    </row>
    <row r="755" spans="2:15" ht="20.100000000000001" customHeight="1">
      <c r="B755" s="260" t="s">
        <v>334</v>
      </c>
      <c r="D755" s="261" t="str">
        <f>IF(B755=0,0,VLOOKUP(B755,TRANS,3,FALSE))</f>
        <v>FILLER</v>
      </c>
      <c r="E755" s="504">
        <f>IF(B755=0,0,VLOOKUP(B755,TRANS,5,FALSE))</f>
        <v>0.24</v>
      </c>
      <c r="F755" s="505"/>
      <c r="G755" s="545"/>
      <c r="H755" s="546"/>
      <c r="I755" s="504">
        <f>IF(B755=0,0,VLOOKUP(B755,TRANS,6,FALSE))</f>
        <v>50</v>
      </c>
      <c r="J755" s="505"/>
      <c r="K755" s="263" t="str">
        <f>IF(B755=0,0,VLOOKUP(B755,TRANS,4,FALSE))</f>
        <v>T.KM</v>
      </c>
      <c r="L755" s="55">
        <f>(E755*I755)+H755</f>
        <v>12</v>
      </c>
      <c r="M755" s="432">
        <f>M746/1000</f>
        <v>3.3000000000000002E-2</v>
      </c>
      <c r="N755" s="278">
        <f>L755*M755</f>
        <v>0.39600000000000002</v>
      </c>
      <c r="O755" s="392">
        <f>M753+M754+M755+M764</f>
        <v>0.99995999999999996</v>
      </c>
    </row>
    <row r="756" spans="2:15" ht="20.100000000000001" customHeight="1">
      <c r="D756" s="98"/>
      <c r="E756" s="99"/>
      <c r="F756" s="44"/>
      <c r="G756" s="65"/>
      <c r="H756" s="44"/>
      <c r="I756" s="48"/>
      <c r="J756" s="46"/>
      <c r="K756" s="46"/>
      <c r="L756" s="48"/>
      <c r="M756" s="71" t="s">
        <v>112</v>
      </c>
      <c r="N756" s="270">
        <f>SUM(N752:N755)</f>
        <v>15.051495700000002</v>
      </c>
    </row>
    <row r="757" spans="2:15" ht="3.95" customHeight="1">
      <c r="D757" s="98"/>
      <c r="E757" s="99"/>
      <c r="F757" s="44"/>
      <c r="G757" s="65"/>
      <c r="H757" s="44"/>
      <c r="I757" s="48"/>
      <c r="J757" s="46"/>
      <c r="K757" s="46"/>
      <c r="L757" s="48"/>
      <c r="M757" s="100"/>
      <c r="N757" s="282"/>
    </row>
    <row r="758" spans="2:15" ht="20.100000000000001" customHeight="1">
      <c r="D758" s="98"/>
      <c r="E758" s="99"/>
      <c r="F758" s="44"/>
      <c r="G758" s="65"/>
      <c r="H758" s="44"/>
      <c r="I758" s="48"/>
      <c r="J758" s="46"/>
      <c r="K758" s="565" t="s">
        <v>129</v>
      </c>
      <c r="L758" s="566"/>
      <c r="M758" s="567"/>
      <c r="N758" s="279">
        <f>+N740+N748+N756</f>
        <v>83.881185700000003</v>
      </c>
    </row>
    <row r="759" spans="2:15" ht="20.100000000000001" customHeight="1">
      <c r="D759" s="98"/>
      <c r="E759" s="99"/>
      <c r="F759" s="44"/>
      <c r="G759" s="65"/>
      <c r="H759" s="44"/>
      <c r="I759" s="48"/>
      <c r="J759" s="46"/>
      <c r="K759" s="81" t="s">
        <v>115</v>
      </c>
      <c r="L759" s="359">
        <f>DI</f>
        <v>0.26700000000000002</v>
      </c>
      <c r="M759" s="83"/>
      <c r="N759" s="279">
        <f>L759*N758</f>
        <v>22.3962765819</v>
      </c>
    </row>
    <row r="760" spans="2:15" ht="20.100000000000001" customHeight="1" thickBot="1">
      <c r="D760" s="102"/>
      <c r="E760" s="103"/>
      <c r="F760" s="104"/>
      <c r="G760" s="105"/>
      <c r="H760" s="104"/>
      <c r="I760" s="225"/>
      <c r="J760" s="85"/>
      <c r="K760" s="86" t="s">
        <v>130</v>
      </c>
      <c r="L760" s="280"/>
      <c r="M760" s="89"/>
      <c r="N760" s="281">
        <f>N758+N759</f>
        <v>106.2774622819</v>
      </c>
    </row>
    <row r="761" spans="2:15" ht="3.95" customHeight="1">
      <c r="D761" s="106"/>
      <c r="E761" s="107"/>
      <c r="F761" s="108"/>
      <c r="G761" s="109"/>
      <c r="H761" s="108"/>
      <c r="I761" s="226"/>
      <c r="J761" s="110"/>
      <c r="K761" s="111"/>
      <c r="L761" s="284"/>
      <c r="M761" s="111"/>
      <c r="N761" s="285"/>
    </row>
    <row r="762" spans="2:15" ht="3.95" customHeight="1" thickBot="1">
      <c r="D762" s="102"/>
      <c r="E762" s="103"/>
      <c r="F762" s="104"/>
      <c r="G762" s="105"/>
      <c r="H762" s="104"/>
      <c r="I762" s="225"/>
      <c r="J762" s="85"/>
      <c r="K762" s="112"/>
      <c r="L762" s="286"/>
      <c r="M762" s="112"/>
      <c r="N762" s="287"/>
    </row>
    <row r="763" spans="2:15" ht="20.100000000000001" customHeight="1">
      <c r="D763" s="571" t="s">
        <v>131</v>
      </c>
      <c r="E763" s="572"/>
      <c r="F763" s="572"/>
      <c r="G763" s="572"/>
      <c r="H763" s="572"/>
      <c r="I763" s="572"/>
      <c r="J763" s="573"/>
      <c r="K763" s="113" t="s">
        <v>103</v>
      </c>
      <c r="L763" s="34" t="s">
        <v>80</v>
      </c>
      <c r="M763" s="34" t="s">
        <v>104</v>
      </c>
      <c r="N763" s="288" t="s">
        <v>105</v>
      </c>
    </row>
    <row r="764" spans="2:15" ht="20.100000000000001" customHeight="1">
      <c r="B764" s="260" t="s">
        <v>360</v>
      </c>
      <c r="D764" s="264" t="str">
        <f>IF(B764=0,0,VLOOKUP(B764,MAT_BET,3,FALSE))</f>
        <v>AQUISIÇÃO EMULSÃO C/3,4% DE POLÍMEROS</v>
      </c>
      <c r="E764" s="265"/>
      <c r="F764" s="265"/>
      <c r="G764" s="265"/>
      <c r="H764" s="265"/>
      <c r="I764" s="265"/>
      <c r="J764" s="266"/>
      <c r="K764" s="262" t="str">
        <f>IF(B764=0,0,VLOOKUP(B764,MAT_BET,4,FALSE))</f>
        <v>T</v>
      </c>
      <c r="L764" s="67">
        <f>IF(B764=0,0,VLOOKUP(B764,MAT_BET,5,FALSE))</f>
        <v>2050</v>
      </c>
      <c r="M764" s="68">
        <v>5.7160000000000002E-2</v>
      </c>
      <c r="N764" s="273">
        <f>ROUND(L764*M764,2)</f>
        <v>117.18</v>
      </c>
    </row>
    <row r="765" spans="2:15" ht="20.100000000000001" customHeight="1">
      <c r="D765" s="114"/>
      <c r="E765" s="59"/>
      <c r="F765" s="59"/>
      <c r="G765" s="59"/>
      <c r="H765" s="59"/>
      <c r="I765" s="91"/>
      <c r="J765" s="115"/>
      <c r="K765" s="81" t="s">
        <v>115</v>
      </c>
      <c r="L765" s="359">
        <f>DI</f>
        <v>0.26700000000000002</v>
      </c>
      <c r="M765" s="83"/>
      <c r="N765" s="279">
        <f>L765*N764</f>
        <v>31.287060000000004</v>
      </c>
    </row>
    <row r="766" spans="2:15" ht="20.100000000000001" customHeight="1">
      <c r="D766" s="76"/>
      <c r="E766" s="77"/>
      <c r="F766" s="77"/>
      <c r="G766" s="77"/>
      <c r="H766" s="77"/>
      <c r="I766" s="156"/>
      <c r="J766" s="116"/>
      <c r="K766" s="81" t="s">
        <v>132</v>
      </c>
      <c r="L766" s="289"/>
      <c r="M766" s="83"/>
      <c r="N766" s="279">
        <f>N764+N765</f>
        <v>148.46706</v>
      </c>
    </row>
    <row r="767" spans="2:15" ht="20.100000000000001" customHeight="1">
      <c r="D767" s="117"/>
      <c r="E767" s="118"/>
      <c r="F767" s="118"/>
      <c r="G767" s="118"/>
      <c r="H767" s="118"/>
      <c r="I767" s="94"/>
      <c r="J767" s="119"/>
      <c r="K767" s="113" t="s">
        <v>103</v>
      </c>
      <c r="L767" s="34" t="s">
        <v>80</v>
      </c>
      <c r="M767" s="34" t="s">
        <v>104</v>
      </c>
      <c r="N767" s="288" t="s">
        <v>105</v>
      </c>
    </row>
    <row r="768" spans="2:15" ht="20.100000000000001" customHeight="1">
      <c r="B768" s="260" t="s">
        <v>365</v>
      </c>
      <c r="D768" s="264" t="str">
        <f>IF(B768=0,0,VLOOKUP(B768,MAT_BET,3,FALSE))</f>
        <v>TRANSPORTE EMULSÃO C/3,4% DE POLÍMEROS</v>
      </c>
      <c r="E768" s="265"/>
      <c r="F768" s="265"/>
      <c r="G768" s="265"/>
      <c r="H768" s="265"/>
      <c r="I768" s="265"/>
      <c r="J768" s="266"/>
      <c r="K768" s="262" t="str">
        <f>IF(B768=0,0,VLOOKUP(B768,MAT_BET,4,FALSE))</f>
        <v>T</v>
      </c>
      <c r="L768" s="67">
        <f>IF(B768=0,0,VLOOKUP(B768,MAT_BET,5,FALSE))</f>
        <v>230.69</v>
      </c>
      <c r="M768" s="68">
        <v>5.7200000000000001E-2</v>
      </c>
      <c r="N768" s="278">
        <f>(L768*M768)</f>
        <v>13.195468</v>
      </c>
    </row>
    <row r="769" spans="2:14" ht="20.100000000000001" customHeight="1">
      <c r="D769" s="114"/>
      <c r="E769" s="59"/>
      <c r="F769" s="59"/>
      <c r="G769" s="59"/>
      <c r="H769" s="59"/>
      <c r="I769" s="91"/>
      <c r="J769" s="115"/>
      <c r="K769" s="81" t="s">
        <v>115</v>
      </c>
      <c r="L769" s="359">
        <f>DI</f>
        <v>0.26700000000000002</v>
      </c>
      <c r="M769" s="83"/>
      <c r="N769" s="279">
        <f>L769*N768</f>
        <v>3.5231899560000004</v>
      </c>
    </row>
    <row r="770" spans="2:14" ht="20.100000000000001" customHeight="1" thickBot="1">
      <c r="D770" s="76"/>
      <c r="E770" s="77"/>
      <c r="F770" s="77"/>
      <c r="G770" s="77"/>
      <c r="H770" s="77"/>
      <c r="I770" s="156"/>
      <c r="J770" s="116"/>
      <c r="K770" s="97" t="s">
        <v>133</v>
      </c>
      <c r="L770" s="290"/>
      <c r="M770" s="120"/>
      <c r="N770" s="291">
        <f>N768+N769</f>
        <v>16.718657956000001</v>
      </c>
    </row>
    <row r="771" spans="2:14" ht="20.100000000000001" customHeight="1" thickBot="1">
      <c r="D771" s="121"/>
      <c r="E771" s="122"/>
      <c r="F771" s="122"/>
      <c r="G771" s="123"/>
      <c r="H771" s="122"/>
      <c r="I771" s="227"/>
      <c r="J771" s="124"/>
      <c r="K771" s="549" t="s">
        <v>134</v>
      </c>
      <c r="L771" s="549"/>
      <c r="M771" s="550"/>
      <c r="N771" s="292">
        <f>N766+N770</f>
        <v>165.18571795600002</v>
      </c>
    </row>
    <row r="772" spans="2:14" ht="3.95" customHeight="1" thickBot="1">
      <c r="D772" s="43"/>
      <c r="E772" s="44"/>
      <c r="F772" s="44"/>
      <c r="G772" s="65"/>
      <c r="H772" s="44"/>
      <c r="I772" s="48"/>
      <c r="J772" s="46"/>
      <c r="K772" s="125"/>
      <c r="L772" s="293"/>
      <c r="M772" s="125"/>
      <c r="N772" s="282"/>
    </row>
    <row r="773" spans="2:14" ht="20.100000000000001" customHeight="1">
      <c r="D773" s="126"/>
      <c r="E773" s="108"/>
      <c r="F773" s="108"/>
      <c r="G773" s="109"/>
      <c r="H773" s="108"/>
      <c r="I773" s="228" t="s">
        <v>114</v>
      </c>
      <c r="J773" s="128"/>
      <c r="K773" s="128"/>
      <c r="L773" s="354">
        <v>0.02</v>
      </c>
      <c r="M773" s="129"/>
      <c r="N773" s="294">
        <f>(N758+N764+N768)*L773</f>
        <v>4.285133074</v>
      </c>
    </row>
    <row r="774" spans="2:14" ht="20.100000000000001" customHeight="1">
      <c r="D774" s="43"/>
      <c r="E774" s="44"/>
      <c r="F774" s="44"/>
      <c r="G774" s="65"/>
      <c r="H774" s="44"/>
      <c r="I774" s="563" t="s">
        <v>135</v>
      </c>
      <c r="J774" s="564"/>
      <c r="K774" s="564"/>
      <c r="L774" s="564"/>
      <c r="M774" s="125"/>
      <c r="N774" s="282">
        <f>N758+N764+N768+N773</f>
        <v>218.541786774</v>
      </c>
    </row>
    <row r="775" spans="2:14" ht="20.100000000000001" customHeight="1" thickBot="1">
      <c r="D775" s="130"/>
      <c r="E775" s="104"/>
      <c r="F775" s="104"/>
      <c r="G775" s="105"/>
      <c r="H775" s="104"/>
      <c r="I775" s="537" t="s">
        <v>136</v>
      </c>
      <c r="J775" s="538"/>
      <c r="K775" s="538"/>
      <c r="L775" s="538"/>
      <c r="M775" s="131"/>
      <c r="N775" s="295">
        <f>N774*2.4</f>
        <v>524.5002882576</v>
      </c>
    </row>
    <row r="776" spans="2:14" ht="3.95" customHeight="1" thickBot="1">
      <c r="D776" s="98"/>
      <c r="E776" s="99"/>
      <c r="F776" s="44"/>
      <c r="G776" s="65"/>
      <c r="H776" s="44"/>
      <c r="I776" s="48"/>
      <c r="J776" s="46"/>
      <c r="K776" s="46"/>
      <c r="L776" s="48"/>
      <c r="M776" s="100"/>
      <c r="N776" s="282"/>
    </row>
    <row r="777" spans="2:14" ht="20.100000000000001" customHeight="1">
      <c r="D777" s="133"/>
      <c r="E777" s="134"/>
      <c r="F777" s="134"/>
      <c r="G777" s="134"/>
      <c r="H777" s="134"/>
      <c r="I777" s="229" t="s">
        <v>137</v>
      </c>
      <c r="J777" s="135"/>
      <c r="K777" s="135"/>
      <c r="L777" s="354">
        <f>DI</f>
        <v>0.26700000000000002</v>
      </c>
      <c r="M777" s="136"/>
      <c r="N777" s="294">
        <f>(N774*L765)+N774</f>
        <v>276.892443842658</v>
      </c>
    </row>
    <row r="778" spans="2:14" ht="20.100000000000001" customHeight="1" thickBot="1">
      <c r="D778" s="137"/>
      <c r="E778" s="138"/>
      <c r="F778" s="138"/>
      <c r="G778" s="138"/>
      <c r="H778" s="138"/>
      <c r="I778" s="230" t="s">
        <v>138</v>
      </c>
      <c r="J778" s="139"/>
      <c r="K778" s="139"/>
      <c r="L778" s="358">
        <f>DI</f>
        <v>0.26700000000000002</v>
      </c>
      <c r="M778" s="140"/>
      <c r="N778" s="295">
        <f>N777*2.4</f>
        <v>664.54186522237922</v>
      </c>
    </row>
    <row r="779" spans="2:14" ht="20.100000000000001" customHeight="1" thickBot="1">
      <c r="D779" s="369"/>
      <c r="E779" s="369"/>
      <c r="F779" s="369"/>
      <c r="G779" s="369"/>
      <c r="H779" s="369"/>
      <c r="I779" s="370"/>
      <c r="J779" s="371"/>
      <c r="K779" s="371"/>
      <c r="L779" s="372"/>
      <c r="M779" s="373"/>
      <c r="N779" s="374"/>
    </row>
    <row r="780" spans="2:14" ht="20.100000000000001" customHeight="1">
      <c r="B780" s="197" t="s">
        <v>197</v>
      </c>
      <c r="D780" s="520" t="s">
        <v>235</v>
      </c>
      <c r="E780" s="521"/>
      <c r="F780" s="542" t="s">
        <v>74</v>
      </c>
      <c r="G780" s="543"/>
      <c r="H780" s="543"/>
      <c r="I780" s="543"/>
      <c r="J780" s="543"/>
      <c r="K780" s="543"/>
      <c r="L780" s="544"/>
      <c r="M780" s="19" t="s">
        <v>75</v>
      </c>
      <c r="N780" s="20" t="s">
        <v>76</v>
      </c>
    </row>
    <row r="781" spans="2:14" ht="20.100000000000001" customHeight="1">
      <c r="D781" s="522"/>
      <c r="E781" s="523"/>
      <c r="F781" s="512" t="str">
        <f>VLOOKUP(B780,Resumo_Composições,3,FALSE)</f>
        <v xml:space="preserve">PINTURA DE LIGAÇÃO </v>
      </c>
      <c r="G781" s="519"/>
      <c r="H781" s="519"/>
      <c r="I781" s="519"/>
      <c r="J781" s="519"/>
      <c r="K781" s="519"/>
      <c r="L781" s="513"/>
      <c r="M781" s="24" t="str">
        <f>VLOOKUP(B780,Resumo_Composições,4,FALSE)</f>
        <v>M2</v>
      </c>
      <c r="N781" s="25">
        <f>DATA</f>
        <v>41214</v>
      </c>
    </row>
    <row r="782" spans="2:14" ht="20.100000000000001" customHeight="1">
      <c r="D782" s="26" t="s">
        <v>77</v>
      </c>
      <c r="E782" s="27"/>
      <c r="F782" s="27"/>
      <c r="G782" s="27"/>
      <c r="H782" s="28"/>
      <c r="I782" s="214" t="s">
        <v>78</v>
      </c>
      <c r="J782" s="509" t="s">
        <v>79</v>
      </c>
      <c r="K782" s="511"/>
      <c r="L782" s="535" t="s">
        <v>80</v>
      </c>
      <c r="M782" s="536"/>
      <c r="N782" s="516" t="s">
        <v>81</v>
      </c>
    </row>
    <row r="783" spans="2:14" ht="20.100000000000001" customHeight="1">
      <c r="D783" s="31"/>
      <c r="E783" s="32"/>
      <c r="F783" s="32"/>
      <c r="G783" s="32"/>
      <c r="H783" s="33"/>
      <c r="I783" s="34"/>
      <c r="J783" s="51" t="s">
        <v>82</v>
      </c>
      <c r="K783" s="51" t="s">
        <v>83</v>
      </c>
      <c r="L783" s="51" t="s">
        <v>82</v>
      </c>
      <c r="M783" s="51" t="s">
        <v>84</v>
      </c>
      <c r="N783" s="517"/>
    </row>
    <row r="784" spans="2:14" ht="20.100000000000001" customHeight="1">
      <c r="B784" s="260" t="s">
        <v>292</v>
      </c>
      <c r="D784" s="35" t="str">
        <f>IF(B784=0,0,VLOOKUP(B784,EQUIP,3,FALSE))</f>
        <v>TRATOR AGRICOLA (77 KW)</v>
      </c>
      <c r="E784" s="36"/>
      <c r="F784" s="36"/>
      <c r="G784" s="36"/>
      <c r="H784" s="37"/>
      <c r="I784" s="215">
        <v>1</v>
      </c>
      <c r="J784" s="38">
        <v>0.55000000000000004</v>
      </c>
      <c r="K784" s="38">
        <v>0.45</v>
      </c>
      <c r="L784" s="215">
        <f>IF(B784=0,0,VLOOKUP(B784,EQUIP,6,FALSE))</f>
        <v>65.799899999999994</v>
      </c>
      <c r="M784" s="38">
        <f>IF(B784=0,0,VLOOKUP(B784,EQUIP,7,FALSE))</f>
        <v>17.27</v>
      </c>
      <c r="N784" s="269">
        <f>ROUND(I784*J784*L784+I784*K784*M784,2)</f>
        <v>43.96</v>
      </c>
    </row>
    <row r="785" spans="2:14" ht="20.100000000000001" customHeight="1">
      <c r="B785" s="260" t="s">
        <v>296</v>
      </c>
      <c r="D785" s="35" t="str">
        <f>IF(B785=0,0,VLOOKUP(B785,EQUIP,3,FALSE))</f>
        <v>VASSOURA MECÂNICA REBOCÁVEL</v>
      </c>
      <c r="E785" s="36"/>
      <c r="F785" s="36"/>
      <c r="G785" s="36"/>
      <c r="H785" s="37"/>
      <c r="I785" s="55">
        <v>1</v>
      </c>
      <c r="J785" s="39">
        <v>0.55000000000000004</v>
      </c>
      <c r="K785" s="39">
        <v>0.45</v>
      </c>
      <c r="L785" s="215">
        <f>IF(B785=0,0,VLOOKUP(B785,EQUIP,6,FALSE))</f>
        <v>3.83</v>
      </c>
      <c r="M785" s="38">
        <f>IF(B785=0,0,VLOOKUP(B785,EQUIP,7,FALSE))</f>
        <v>0</v>
      </c>
      <c r="N785" s="269">
        <f>ROUND(I785*J785*L785+I785*K785*M785,2)</f>
        <v>2.11</v>
      </c>
    </row>
    <row r="786" spans="2:14" ht="20.100000000000001" customHeight="1">
      <c r="B786" s="260" t="s">
        <v>290</v>
      </c>
      <c r="D786" s="35" t="str">
        <f>IF(B786=0,0,VLOOKUP(B786,EQUIP,3,FALSE))</f>
        <v>TANQUE DE ESTOCAGEM DE ASFALTO - 20.000l</v>
      </c>
      <c r="E786" s="36"/>
      <c r="F786" s="36"/>
      <c r="G786" s="36"/>
      <c r="H786" s="37"/>
      <c r="I786" s="55">
        <v>2</v>
      </c>
      <c r="J786" s="39">
        <v>1</v>
      </c>
      <c r="K786" s="39">
        <v>0</v>
      </c>
      <c r="L786" s="215">
        <f>IF(B786=0,0,VLOOKUP(B786,EQUIP,6,FALSE))</f>
        <v>5.1100000000000003</v>
      </c>
      <c r="M786" s="38">
        <f>IF(B786=0,0,VLOOKUP(B786,EQUIP,7,FALSE))</f>
        <v>0</v>
      </c>
      <c r="N786" s="269">
        <f>ROUND(I786*J786*L786+I786*K786*M786,2)</f>
        <v>10.220000000000001</v>
      </c>
    </row>
    <row r="787" spans="2:14" ht="20.100000000000001" customHeight="1">
      <c r="B787" s="260" t="s">
        <v>275</v>
      </c>
      <c r="D787" s="35" t="str">
        <f>IF(B787=0,0,VLOOKUP(B787,EQUIP,3,FALSE))</f>
        <v>EQUIP. DISTRIBUIÇÃO DE ASFALTO MONTADO EM CAMINHÃO 150 KW</v>
      </c>
      <c r="E787" s="36"/>
      <c r="F787" s="36"/>
      <c r="G787" s="36"/>
      <c r="H787" s="37"/>
      <c r="I787" s="215">
        <v>1</v>
      </c>
      <c r="J787" s="38">
        <v>1</v>
      </c>
      <c r="K787" s="38">
        <v>0</v>
      </c>
      <c r="L787" s="215">
        <f>IF(B787=0,0,VLOOKUP(B787,EQUIP,6,FALSE))</f>
        <v>98.34</v>
      </c>
      <c r="M787" s="38">
        <f>IF(B787=0,0,VLOOKUP(B787,EQUIP,7,FALSE))</f>
        <v>20.47</v>
      </c>
      <c r="N787" s="269">
        <f>ROUND(I787*J787*L787+I787*K787*M787,2)</f>
        <v>98.34</v>
      </c>
    </row>
    <row r="788" spans="2:14" ht="20.100000000000001" customHeight="1">
      <c r="B788" s="260"/>
      <c r="D788" s="35"/>
      <c r="E788" s="36"/>
      <c r="F788" s="36"/>
      <c r="G788" s="36"/>
      <c r="H788" s="37"/>
      <c r="I788" s="55"/>
      <c r="J788" s="39"/>
      <c r="K788" s="39"/>
      <c r="L788" s="55"/>
      <c r="M788" s="39"/>
      <c r="N788" s="319">
        <f>ROUND(I788*J788*L788+I788*K788*M788,2)</f>
        <v>0</v>
      </c>
    </row>
    <row r="789" spans="2:14" ht="20.100000000000001" customHeight="1">
      <c r="D789" s="40"/>
      <c r="E789" s="41"/>
      <c r="F789" s="41"/>
      <c r="G789" s="41"/>
      <c r="H789" s="41"/>
      <c r="I789" s="216"/>
      <c r="J789" s="41"/>
      <c r="K789" s="41"/>
      <c r="L789" s="216"/>
      <c r="M789" s="42" t="s">
        <v>89</v>
      </c>
      <c r="N789" s="270">
        <f>SUM(N784:N787)</f>
        <v>154.63</v>
      </c>
    </row>
    <row r="790" spans="2:14" ht="3.95" customHeight="1">
      <c r="D790" s="43"/>
      <c r="E790" s="44"/>
      <c r="F790" s="44"/>
      <c r="G790" s="45"/>
      <c r="H790" s="44"/>
      <c r="I790" s="217"/>
      <c r="J790" s="46"/>
      <c r="K790" s="47"/>
      <c r="L790" s="48"/>
      <c r="M790" s="48"/>
      <c r="N790" s="271"/>
    </row>
    <row r="791" spans="2:14" ht="20.100000000000001" customHeight="1">
      <c r="D791" s="49" t="s">
        <v>90</v>
      </c>
      <c r="E791" s="22"/>
      <c r="F791" s="22"/>
      <c r="G791" s="22"/>
      <c r="H791" s="22"/>
      <c r="I791" s="141"/>
      <c r="J791" s="23"/>
      <c r="K791" s="50" t="s">
        <v>91</v>
      </c>
      <c r="L791" s="51" t="s">
        <v>92</v>
      </c>
      <c r="M791" s="51" t="s">
        <v>93</v>
      </c>
      <c r="N791" s="272" t="s">
        <v>94</v>
      </c>
    </row>
    <row r="792" spans="2:14" ht="20.100000000000001" customHeight="1">
      <c r="B792" s="260" t="s">
        <v>250</v>
      </c>
      <c r="D792" s="52" t="str">
        <f>IF(B792=0,0,VLOOKUP(B792,MO,2,FALSE))</f>
        <v>ENCARREGADO DE PAVIMENTAÇÃO</v>
      </c>
      <c r="E792" s="53"/>
      <c r="F792" s="53"/>
      <c r="G792" s="53"/>
      <c r="H792" s="53"/>
      <c r="I792" s="36"/>
      <c r="J792" s="54"/>
      <c r="K792" s="39"/>
      <c r="L792" s="55">
        <v>1</v>
      </c>
      <c r="M792" s="55">
        <f>IF(B792=0,0,VLOOKUP(B792,MO,6,FALSE))</f>
        <v>44.786799999999999</v>
      </c>
      <c r="N792" s="273">
        <f>ROUND(L792*M792,2)</f>
        <v>44.79</v>
      </c>
    </row>
    <row r="793" spans="2:14" ht="20.100000000000001" customHeight="1">
      <c r="B793" s="260" t="s">
        <v>251</v>
      </c>
      <c r="D793" s="52" t="str">
        <f>IF(B793=0,0,VLOOKUP(B793,MO,2,FALSE))</f>
        <v>OPERÁRIO</v>
      </c>
      <c r="E793" s="53"/>
      <c r="F793" s="53"/>
      <c r="G793" s="53"/>
      <c r="H793" s="53"/>
      <c r="I793" s="36"/>
      <c r="J793" s="54"/>
      <c r="K793" s="39"/>
      <c r="L793" s="55">
        <v>3</v>
      </c>
      <c r="M793" s="55">
        <f>IF(B793=0,0,VLOOKUP(B793,MO,6,FALSE))</f>
        <v>15.364641700000002</v>
      </c>
      <c r="N793" s="273">
        <f>ROUND(L793*M793,2)</f>
        <v>46.09</v>
      </c>
    </row>
    <row r="794" spans="2:14" ht="20.100000000000001" customHeight="1">
      <c r="B794" s="260"/>
      <c r="D794" s="52" t="s">
        <v>122</v>
      </c>
      <c r="E794" s="53"/>
      <c r="F794" s="53"/>
      <c r="G794" s="53"/>
      <c r="H794" s="53"/>
      <c r="I794" s="36"/>
      <c r="J794" s="54"/>
      <c r="K794" s="56">
        <v>0</v>
      </c>
      <c r="L794" s="57">
        <f>N792+N793</f>
        <v>90.88</v>
      </c>
      <c r="M794" s="55"/>
      <c r="N794" s="445">
        <f>ROUND(L794*K794,2)</f>
        <v>0</v>
      </c>
    </row>
    <row r="795" spans="2:14" ht="20.100000000000001" customHeight="1">
      <c r="D795" s="58"/>
      <c r="E795" s="59"/>
      <c r="F795" s="60"/>
      <c r="G795" s="60"/>
      <c r="H795" s="44"/>
      <c r="I795" s="217"/>
      <c r="J795" s="61"/>
      <c r="K795" s="47"/>
      <c r="L795" s="48"/>
      <c r="M795" s="62" t="s">
        <v>98</v>
      </c>
      <c r="N795" s="270">
        <f>SUM(N792:N794)</f>
        <v>90.88</v>
      </c>
    </row>
    <row r="796" spans="2:14" ht="3.95" customHeight="1">
      <c r="D796" s="43"/>
      <c r="E796" s="44"/>
      <c r="F796" s="44"/>
      <c r="G796" s="44"/>
      <c r="H796" s="44"/>
      <c r="I796" s="217"/>
      <c r="J796" s="61"/>
      <c r="K796" s="47"/>
      <c r="L796" s="48"/>
      <c r="M796" s="48"/>
      <c r="N796" s="271"/>
    </row>
    <row r="797" spans="2:14" ht="20.100000000000001" customHeight="1">
      <c r="D797" s="40"/>
      <c r="E797" s="60"/>
      <c r="F797" s="60"/>
      <c r="G797" s="60"/>
      <c r="H797" s="63"/>
      <c r="I797" s="218"/>
      <c r="J797" s="63"/>
      <c r="K797" s="535" t="s">
        <v>99</v>
      </c>
      <c r="L797" s="562"/>
      <c r="M797" s="536"/>
      <c r="N797" s="275">
        <f>+N789+N795</f>
        <v>245.51</v>
      </c>
    </row>
    <row r="798" spans="2:14" ht="3.95" customHeight="1">
      <c r="D798" s="64"/>
      <c r="E798" s="44"/>
      <c r="F798" s="44"/>
      <c r="G798" s="45"/>
      <c r="H798" s="44"/>
      <c r="I798" s="217"/>
      <c r="J798" s="46"/>
      <c r="K798" s="47"/>
      <c r="L798" s="48"/>
      <c r="M798" s="48"/>
      <c r="N798" s="271"/>
    </row>
    <row r="799" spans="2:14" ht="20.100000000000001" customHeight="1">
      <c r="D799" s="58"/>
      <c r="E799" s="509" t="s">
        <v>100</v>
      </c>
      <c r="F799" s="510"/>
      <c r="G799" s="510"/>
      <c r="H799" s="511"/>
      <c r="I799" s="219">
        <v>2000</v>
      </c>
      <c r="J799" s="48"/>
      <c r="K799" s="586" t="s">
        <v>101</v>
      </c>
      <c r="L799" s="587"/>
      <c r="M799" s="587"/>
      <c r="N799" s="276">
        <f>ROUND(N797/I799,2)</f>
        <v>0.12</v>
      </c>
    </row>
    <row r="800" spans="2:14" ht="3.95" customHeight="1">
      <c r="D800" s="43"/>
      <c r="E800" s="44"/>
      <c r="F800" s="44"/>
      <c r="G800" s="65"/>
      <c r="H800" s="44"/>
      <c r="I800" s="48"/>
      <c r="J800" s="46"/>
      <c r="K800" s="46"/>
      <c r="L800" s="48"/>
      <c r="M800" s="46"/>
      <c r="N800" s="277"/>
    </row>
    <row r="801" spans="2:14" ht="20.100000000000001" customHeight="1">
      <c r="D801" s="49" t="s">
        <v>102</v>
      </c>
      <c r="E801" s="22"/>
      <c r="F801" s="22"/>
      <c r="G801" s="22"/>
      <c r="H801" s="22"/>
      <c r="I801" s="141"/>
      <c r="J801" s="23"/>
      <c r="K801" s="50" t="s">
        <v>103</v>
      </c>
      <c r="L801" s="51" t="s">
        <v>80</v>
      </c>
      <c r="M801" s="51" t="s">
        <v>104</v>
      </c>
      <c r="N801" s="272" t="s">
        <v>105</v>
      </c>
    </row>
    <row r="802" spans="2:14" ht="20.100000000000001" customHeight="1">
      <c r="B802" s="260"/>
      <c r="D802" s="52"/>
      <c r="E802" s="53"/>
      <c r="F802" s="53"/>
      <c r="G802" s="53"/>
      <c r="H802" s="53"/>
      <c r="I802" s="36"/>
      <c r="J802" s="54"/>
      <c r="K802" s="66"/>
      <c r="L802" s="67"/>
      <c r="M802" s="68"/>
      <c r="N802" s="273"/>
    </row>
    <row r="803" spans="2:14" ht="20.100000000000001" customHeight="1">
      <c r="B803" s="260"/>
      <c r="D803" s="52"/>
      <c r="E803" s="53"/>
      <c r="F803" s="53"/>
      <c r="G803" s="53"/>
      <c r="H803" s="53"/>
      <c r="I803" s="36"/>
      <c r="J803" s="54"/>
      <c r="K803" s="66"/>
      <c r="L803" s="67"/>
      <c r="M803" s="75"/>
      <c r="N803" s="445">
        <f>ROUND(L803*M803,2)</f>
        <v>0</v>
      </c>
    </row>
    <row r="804" spans="2:14" ht="20.100000000000001" customHeight="1">
      <c r="D804" s="43"/>
      <c r="E804" s="44"/>
      <c r="F804" s="44"/>
      <c r="G804" s="65"/>
      <c r="H804" s="44"/>
      <c r="I804" s="48"/>
      <c r="J804" s="46"/>
      <c r="K804" s="46"/>
      <c r="L804" s="48"/>
      <c r="M804" s="71" t="s">
        <v>106</v>
      </c>
      <c r="N804" s="441">
        <f>SUM(N803)</f>
        <v>0</v>
      </c>
    </row>
    <row r="805" spans="2:14" ht="3.95" customHeight="1">
      <c r="D805" s="43"/>
      <c r="E805" s="44"/>
      <c r="F805" s="44"/>
      <c r="G805" s="65"/>
      <c r="H805" s="44"/>
      <c r="I805" s="48"/>
      <c r="J805" s="46"/>
      <c r="K805" s="46"/>
      <c r="L805" s="48"/>
      <c r="M805" s="46"/>
      <c r="N805" s="277"/>
    </row>
    <row r="806" spans="2:14" ht="20.100000000000001" customHeight="1">
      <c r="D806" s="527" t="s">
        <v>107</v>
      </c>
      <c r="E806" s="72" t="s">
        <v>2</v>
      </c>
      <c r="F806" s="73"/>
      <c r="G806" s="73"/>
      <c r="H806" s="74"/>
      <c r="I806" s="498" t="s">
        <v>108</v>
      </c>
      <c r="J806" s="499"/>
      <c r="K806" s="531" t="s">
        <v>103</v>
      </c>
      <c r="L806" s="514" t="s">
        <v>80</v>
      </c>
      <c r="M806" s="531" t="s">
        <v>109</v>
      </c>
      <c r="N806" s="529" t="s">
        <v>105</v>
      </c>
    </row>
    <row r="807" spans="2:14" ht="20.100000000000001" customHeight="1">
      <c r="D807" s="528"/>
      <c r="E807" s="512" t="s">
        <v>110</v>
      </c>
      <c r="F807" s="513"/>
      <c r="G807" s="512" t="s">
        <v>111</v>
      </c>
      <c r="H807" s="513"/>
      <c r="I807" s="500"/>
      <c r="J807" s="501"/>
      <c r="K807" s="532"/>
      <c r="L807" s="515"/>
      <c r="M807" s="532"/>
      <c r="N807" s="530"/>
    </row>
    <row r="808" spans="2:14" ht="20.100000000000001" customHeight="1">
      <c r="B808" s="260"/>
      <c r="D808" s="261"/>
      <c r="E808" s="504"/>
      <c r="F808" s="505"/>
      <c r="G808" s="502"/>
      <c r="H808" s="503"/>
      <c r="I808" s="533"/>
      <c r="J808" s="534"/>
      <c r="K808" s="66"/>
      <c r="L808" s="67"/>
      <c r="M808" s="70"/>
      <c r="N808" s="278"/>
    </row>
    <row r="809" spans="2:14" ht="20.100000000000001" customHeight="1">
      <c r="B809" s="260"/>
      <c r="D809" s="261"/>
      <c r="E809" s="504"/>
      <c r="F809" s="505"/>
      <c r="G809" s="502"/>
      <c r="H809" s="503"/>
      <c r="I809" s="533"/>
      <c r="J809" s="534"/>
      <c r="K809" s="66"/>
      <c r="L809" s="67"/>
      <c r="M809" s="70"/>
      <c r="N809" s="278"/>
    </row>
    <row r="810" spans="2:14" ht="20.100000000000001" customHeight="1">
      <c r="D810" s="98"/>
      <c r="E810" s="99"/>
      <c r="F810" s="44"/>
      <c r="G810" s="65"/>
      <c r="H810" s="44"/>
      <c r="I810" s="48"/>
      <c r="J810" s="46"/>
      <c r="K810" s="46"/>
      <c r="L810" s="48"/>
      <c r="M810" s="71" t="s">
        <v>112</v>
      </c>
      <c r="N810" s="441">
        <f>SUM(N808:N809)</f>
        <v>0</v>
      </c>
    </row>
    <row r="811" spans="2:14" ht="3.95" customHeight="1">
      <c r="D811" s="150" t="s">
        <v>157</v>
      </c>
      <c r="E811" s="44"/>
      <c r="F811" s="65"/>
      <c r="G811" s="44"/>
      <c r="H811" s="46"/>
      <c r="I811" s="48"/>
      <c r="J811" s="46"/>
      <c r="K811" s="46"/>
      <c r="L811" s="48"/>
      <c r="M811" s="46"/>
      <c r="N811" s="277"/>
    </row>
    <row r="812" spans="2:14" ht="20.100000000000001" customHeight="1">
      <c r="D812" s="40"/>
      <c r="E812" s="65"/>
      <c r="F812" s="65"/>
      <c r="G812" s="65"/>
      <c r="H812" s="44"/>
      <c r="I812" s="233"/>
      <c r="J812" s="143"/>
      <c r="K812" s="565" t="s">
        <v>129</v>
      </c>
      <c r="L812" s="566"/>
      <c r="M812" s="567"/>
      <c r="N812" s="279">
        <f>+N799+N804+N810</f>
        <v>0.12</v>
      </c>
    </row>
    <row r="813" spans="2:14" ht="20.100000000000001" customHeight="1">
      <c r="D813" s="98"/>
      <c r="E813" s="151"/>
      <c r="F813" s="46"/>
      <c r="G813" s="46"/>
      <c r="H813" s="46"/>
      <c r="I813" s="48"/>
      <c r="J813" s="46"/>
      <c r="K813" s="81" t="s">
        <v>115</v>
      </c>
      <c r="L813" s="360">
        <f>DI</f>
        <v>0.26700000000000002</v>
      </c>
      <c r="M813" s="83"/>
      <c r="N813" s="279">
        <f>L813*N812</f>
        <v>3.2039999999999999E-2</v>
      </c>
    </row>
    <row r="814" spans="2:14" ht="20.100000000000001" customHeight="1" thickBot="1">
      <c r="D814" s="102"/>
      <c r="E814" s="145"/>
      <c r="F814" s="85"/>
      <c r="G814" s="85"/>
      <c r="H814" s="85"/>
      <c r="I814" s="225"/>
      <c r="J814" s="85"/>
      <c r="K814" s="86" t="s">
        <v>147</v>
      </c>
      <c r="L814" s="280"/>
      <c r="M814" s="89"/>
      <c r="N814" s="281">
        <f>SUM(N812:N813)</f>
        <v>0.15204000000000001</v>
      </c>
    </row>
    <row r="815" spans="2:14" ht="3.95" customHeight="1" thickBot="1"/>
    <row r="816" spans="2:14" ht="20.100000000000001" customHeight="1">
      <c r="D816" s="555" t="s">
        <v>131</v>
      </c>
      <c r="E816" s="556"/>
      <c r="F816" s="556"/>
      <c r="G816" s="556"/>
      <c r="H816" s="556"/>
      <c r="I816" s="556"/>
      <c r="J816" s="557"/>
      <c r="K816" s="146" t="s">
        <v>103</v>
      </c>
      <c r="L816" s="19" t="s">
        <v>80</v>
      </c>
      <c r="M816" s="19" t="s">
        <v>104</v>
      </c>
      <c r="N816" s="297" t="s">
        <v>105</v>
      </c>
    </row>
    <row r="817" spans="2:14" ht="20.100000000000001" customHeight="1">
      <c r="B817" s="260" t="s">
        <v>361</v>
      </c>
      <c r="D817" s="264" t="str">
        <f>IF(B817=0,0,VLOOKUP(B817,MAT_BET,3,FALSE))</f>
        <v>AQUISIÇÃO EMULSÃO RR-1C</v>
      </c>
      <c r="E817" s="265"/>
      <c r="F817" s="265"/>
      <c r="G817" s="265"/>
      <c r="H817" s="265"/>
      <c r="I817" s="265"/>
      <c r="J817" s="266"/>
      <c r="K817" s="262" t="str">
        <f>IF(B817=0,0,VLOOKUP(B817,MAT_BET,4,FALSE))</f>
        <v>T</v>
      </c>
      <c r="L817" s="267">
        <f>IF(B817=0,0,VLOOKUP(B817,MAT_BET,5,FALSE))</f>
        <v>905</v>
      </c>
      <c r="M817" s="68">
        <v>4.0000000000000002E-4</v>
      </c>
      <c r="N817" s="273">
        <f>ROUND(L817*M817,2)</f>
        <v>0.36</v>
      </c>
    </row>
    <row r="818" spans="2:14" ht="20.100000000000001" customHeight="1">
      <c r="D818" s="114"/>
      <c r="E818" s="59"/>
      <c r="F818" s="59"/>
      <c r="G818" s="59"/>
      <c r="H818" s="59"/>
      <c r="I818" s="91"/>
      <c r="J818" s="115"/>
      <c r="K818" s="81" t="s">
        <v>115</v>
      </c>
      <c r="L818" s="360">
        <f>DI</f>
        <v>0.26700000000000002</v>
      </c>
      <c r="M818" s="83"/>
      <c r="N818" s="279">
        <f>L818*N817</f>
        <v>9.6119999999999997E-2</v>
      </c>
    </row>
    <row r="819" spans="2:14" ht="20.100000000000001" customHeight="1">
      <c r="D819" s="76"/>
      <c r="E819" s="77"/>
      <c r="F819" s="77"/>
      <c r="G819" s="77"/>
      <c r="H819" s="77"/>
      <c r="I819" s="156"/>
      <c r="J819" s="116"/>
      <c r="K819" s="81" t="s">
        <v>132</v>
      </c>
      <c r="L819" s="289"/>
      <c r="M819" s="83"/>
      <c r="N819" s="279">
        <f>N817+N818</f>
        <v>0.45611999999999997</v>
      </c>
    </row>
    <row r="820" spans="2:14" ht="20.100000000000001" customHeight="1">
      <c r="D820" s="117"/>
      <c r="E820" s="118"/>
      <c r="F820" s="118"/>
      <c r="G820" s="118"/>
      <c r="H820" s="118"/>
      <c r="I820" s="94"/>
      <c r="J820" s="119"/>
      <c r="K820" s="113" t="s">
        <v>103</v>
      </c>
      <c r="L820" s="34" t="s">
        <v>80</v>
      </c>
      <c r="M820" s="34" t="s">
        <v>104</v>
      </c>
      <c r="N820" s="288" t="s">
        <v>105</v>
      </c>
    </row>
    <row r="821" spans="2:14" ht="20.100000000000001" customHeight="1">
      <c r="B821" s="260" t="s">
        <v>366</v>
      </c>
      <c r="D821" s="264" t="str">
        <f>IF(B821=0,0,VLOOKUP(B821,MAT_BET,3,FALSE))</f>
        <v>TRANSPORTE EMULSÃO RR-1C</v>
      </c>
      <c r="E821" s="265"/>
      <c r="F821" s="265"/>
      <c r="G821" s="265"/>
      <c r="H821" s="265"/>
      <c r="I821" s="265"/>
      <c r="J821" s="266"/>
      <c r="K821" s="262" t="str">
        <f>IF(B821=0,0,VLOOKUP(B821,MAT_BET,4,FALSE))</f>
        <v>T</v>
      </c>
      <c r="L821" s="267">
        <f>IF(B821=0,0,VLOOKUP(B821,MAT_BET,5,FALSE))</f>
        <v>230.69</v>
      </c>
      <c r="M821" s="68">
        <v>4.0000000000000002E-4</v>
      </c>
      <c r="N821" s="278">
        <f>(L821*M821)</f>
        <v>9.2275999999999997E-2</v>
      </c>
    </row>
    <row r="822" spans="2:14" ht="20.100000000000001" customHeight="1">
      <c r="D822" s="114"/>
      <c r="E822" s="59"/>
      <c r="F822" s="59"/>
      <c r="G822" s="59"/>
      <c r="H822" s="59"/>
      <c r="I822" s="91"/>
      <c r="J822" s="115"/>
      <c r="K822" s="81" t="s">
        <v>115</v>
      </c>
      <c r="L822" s="360">
        <f>DI</f>
        <v>0.26700000000000002</v>
      </c>
      <c r="M822" s="83"/>
      <c r="N822" s="279">
        <f>L822*N821</f>
        <v>2.4637691999999999E-2</v>
      </c>
    </row>
    <row r="823" spans="2:14" ht="20.100000000000001" customHeight="1" thickBot="1">
      <c r="D823" s="76"/>
      <c r="E823" s="77"/>
      <c r="F823" s="77"/>
      <c r="G823" s="77"/>
      <c r="H823" s="77"/>
      <c r="I823" s="156"/>
      <c r="J823" s="116"/>
      <c r="K823" s="97" t="s">
        <v>133</v>
      </c>
      <c r="L823" s="290"/>
      <c r="M823" s="120"/>
      <c r="N823" s="291">
        <f>N821+N822</f>
        <v>0.116913692</v>
      </c>
    </row>
    <row r="824" spans="2:14" ht="20.100000000000001" customHeight="1" thickBot="1">
      <c r="D824" s="121"/>
      <c r="E824" s="122"/>
      <c r="F824" s="122"/>
      <c r="G824" s="123"/>
      <c r="H824" s="122"/>
      <c r="I824" s="227"/>
      <c r="J824" s="124"/>
      <c r="K824" s="549" t="s">
        <v>134</v>
      </c>
      <c r="L824" s="549"/>
      <c r="M824" s="550"/>
      <c r="N824" s="292">
        <f>N819+N823</f>
        <v>0.57303369199999998</v>
      </c>
    </row>
    <row r="825" spans="2:14" ht="20.100000000000001" customHeight="1">
      <c r="D825" s="126"/>
      <c r="E825" s="108"/>
      <c r="F825" s="108"/>
      <c r="G825" s="109"/>
      <c r="H825" s="108"/>
      <c r="I825" s="228" t="s">
        <v>114</v>
      </c>
      <c r="J825" s="128"/>
      <c r="K825" s="128"/>
      <c r="L825" s="354">
        <v>0.02</v>
      </c>
      <c r="M825" s="129"/>
      <c r="N825" s="294">
        <f>(N812+N817+N821)*L825</f>
        <v>1.1445520000000001E-2</v>
      </c>
    </row>
    <row r="826" spans="2:14" ht="20.100000000000001" customHeight="1" thickBot="1">
      <c r="D826" s="130"/>
      <c r="E826" s="104"/>
      <c r="F826" s="104"/>
      <c r="G826" s="105"/>
      <c r="H826" s="104"/>
      <c r="I826" s="537" t="s">
        <v>149</v>
      </c>
      <c r="J826" s="538"/>
      <c r="K826" s="538"/>
      <c r="L826" s="538"/>
      <c r="M826" s="131"/>
      <c r="N826" s="295">
        <f>N812+N817+N821+N825</f>
        <v>0.58372151999999999</v>
      </c>
    </row>
    <row r="827" spans="2:14" ht="3.95" customHeight="1">
      <c r="D827" s="98"/>
      <c r="E827" s="99"/>
      <c r="F827" s="44"/>
      <c r="G827" s="65"/>
      <c r="H827" s="44"/>
      <c r="I827" s="48"/>
      <c r="J827" s="46"/>
      <c r="K827" s="46"/>
      <c r="L827" s="48"/>
      <c r="M827" s="100"/>
      <c r="N827" s="282"/>
    </row>
    <row r="828" spans="2:14" ht="20.100000000000001" customHeight="1" thickBot="1">
      <c r="D828" s="137"/>
      <c r="E828" s="138"/>
      <c r="F828" s="138"/>
      <c r="G828" s="138"/>
      <c r="H828" s="138"/>
      <c r="I828" s="232" t="s">
        <v>158</v>
      </c>
      <c r="J828" s="149"/>
      <c r="K828" s="149"/>
      <c r="L828" s="358">
        <f>DI</f>
        <v>0.26700000000000002</v>
      </c>
      <c r="M828" s="140"/>
      <c r="N828" s="295">
        <f>N826*L828+N826</f>
        <v>0.73957516584000005</v>
      </c>
    </row>
    <row r="829" spans="2:14" ht="20.100000000000001" customHeight="1">
      <c r="D829" s="134"/>
      <c r="E829" s="134"/>
      <c r="F829" s="134"/>
      <c r="G829" s="134"/>
      <c r="H829" s="134"/>
      <c r="I829" s="366"/>
      <c r="J829" s="148"/>
      <c r="K829" s="148"/>
      <c r="L829" s="209"/>
      <c r="M829" s="136"/>
      <c r="N829" s="367"/>
    </row>
    <row r="830" spans="2:14" ht="20.100000000000001" customHeight="1">
      <c r="D830" s="153"/>
      <c r="E830" s="153"/>
      <c r="F830" s="153"/>
      <c r="G830" s="153"/>
      <c r="H830" s="153"/>
      <c r="I830" s="234"/>
      <c r="J830" s="154"/>
      <c r="K830" s="154"/>
      <c r="L830" s="293"/>
      <c r="M830" s="100"/>
      <c r="N830" s="311"/>
    </row>
    <row r="831" spans="2:14" ht="20.100000000000001" customHeight="1" thickBot="1">
      <c r="D831" s="138"/>
      <c r="E831" s="138"/>
      <c r="F831" s="138"/>
      <c r="G831" s="138"/>
      <c r="H831" s="138"/>
      <c r="I831" s="368"/>
      <c r="J831" s="149"/>
      <c r="K831" s="149"/>
      <c r="L831" s="212"/>
      <c r="M831" s="140"/>
      <c r="N831" s="312"/>
    </row>
    <row r="832" spans="2:14" ht="20.100000000000001" customHeight="1">
      <c r="B832" s="197" t="s">
        <v>198</v>
      </c>
      <c r="D832" s="520" t="s">
        <v>236</v>
      </c>
      <c r="E832" s="521"/>
      <c r="F832" s="524" t="s">
        <v>74</v>
      </c>
      <c r="G832" s="525"/>
      <c r="H832" s="525"/>
      <c r="I832" s="525"/>
      <c r="J832" s="525"/>
      <c r="K832" s="525"/>
      <c r="L832" s="526"/>
      <c r="M832" s="19" t="s">
        <v>75</v>
      </c>
      <c r="N832" s="20" t="s">
        <v>76</v>
      </c>
    </row>
    <row r="833" spans="2:14" ht="20.100000000000001" customHeight="1">
      <c r="D833" s="522"/>
      <c r="E833" s="523"/>
      <c r="F833" s="512" t="str">
        <f>VLOOKUP(B832,Resumo_Composições,3,FALSE)</f>
        <v>IMPRIMAÇÃO</v>
      </c>
      <c r="G833" s="519"/>
      <c r="H833" s="519"/>
      <c r="I833" s="519"/>
      <c r="J833" s="519"/>
      <c r="K833" s="519"/>
      <c r="L833" s="513"/>
      <c r="M833" s="24" t="str">
        <f>VLOOKUP(B832,Resumo_Composições,4,FALSE)</f>
        <v>M2</v>
      </c>
      <c r="N833" s="25">
        <f>DATA</f>
        <v>41214</v>
      </c>
    </row>
    <row r="834" spans="2:14" ht="20.100000000000001" customHeight="1">
      <c r="D834" s="26" t="s">
        <v>77</v>
      </c>
      <c r="E834" s="27"/>
      <c r="F834" s="27"/>
      <c r="G834" s="27"/>
      <c r="H834" s="28"/>
      <c r="I834" s="214" t="s">
        <v>78</v>
      </c>
      <c r="J834" s="535" t="s">
        <v>79</v>
      </c>
      <c r="K834" s="536"/>
      <c r="L834" s="535" t="s">
        <v>80</v>
      </c>
      <c r="M834" s="536"/>
      <c r="N834" s="516" t="s">
        <v>81</v>
      </c>
    </row>
    <row r="835" spans="2:14" ht="20.100000000000001" customHeight="1">
      <c r="D835" s="31"/>
      <c r="E835" s="32"/>
      <c r="F835" s="32"/>
      <c r="G835" s="32"/>
      <c r="H835" s="33"/>
      <c r="I835" s="34"/>
      <c r="J835" s="51" t="s">
        <v>82</v>
      </c>
      <c r="K835" s="51" t="s">
        <v>83</v>
      </c>
      <c r="L835" s="51" t="s">
        <v>82</v>
      </c>
      <c r="M835" s="51" t="s">
        <v>84</v>
      </c>
      <c r="N835" s="517"/>
    </row>
    <row r="836" spans="2:14" ht="20.100000000000001" customHeight="1">
      <c r="B836" s="260" t="s">
        <v>263</v>
      </c>
      <c r="D836" s="35" t="str">
        <f>IF(B836=0,0,VLOOKUP(B836,EQUIP,3,FALSE))</f>
        <v>CAMINHÃO ESPARGIDOR</v>
      </c>
      <c r="E836" s="36"/>
      <c r="F836" s="36"/>
      <c r="G836" s="36"/>
      <c r="H836" s="37"/>
      <c r="I836" s="215">
        <v>1</v>
      </c>
      <c r="J836" s="38">
        <v>1</v>
      </c>
      <c r="K836" s="38">
        <v>0</v>
      </c>
      <c r="L836" s="215">
        <f>IF(B836=0,0,VLOOKUP(B836,EQUIP,6,FALSE))</f>
        <v>123.34643018381168</v>
      </c>
      <c r="M836" s="38">
        <f>IF(B836=0,0,VLOOKUP(B836,EQUIP,7,FALSE))</f>
        <v>20.47</v>
      </c>
      <c r="N836" s="269">
        <f>ROUND(I836*J836*L836+I836*K836*M836,2)</f>
        <v>123.35</v>
      </c>
    </row>
    <row r="837" spans="2:14" ht="20.100000000000001" customHeight="1">
      <c r="B837" s="260" t="s">
        <v>292</v>
      </c>
      <c r="D837" s="35" t="str">
        <f>IF(B837=0,0,VLOOKUP(B837,EQUIP,3,FALSE))</f>
        <v>TRATOR AGRICOLA (77 KW)</v>
      </c>
      <c r="E837" s="36"/>
      <c r="F837" s="36"/>
      <c r="G837" s="36"/>
      <c r="H837" s="37"/>
      <c r="I837" s="215">
        <v>1</v>
      </c>
      <c r="J837" s="38">
        <v>0.35</v>
      </c>
      <c r="K837" s="38">
        <v>0.65</v>
      </c>
      <c r="L837" s="215">
        <f>IF(B837=0,0,VLOOKUP(B837,EQUIP,6,FALSE))</f>
        <v>65.799899999999994</v>
      </c>
      <c r="M837" s="38">
        <f>IF(B837=0,0,VLOOKUP(B837,EQUIP,7,FALSE))</f>
        <v>17.27</v>
      </c>
      <c r="N837" s="269">
        <f>ROUND(I837*J837*L837+I837*K837*M837,2)</f>
        <v>34.26</v>
      </c>
    </row>
    <row r="838" spans="2:14" ht="20.100000000000001" customHeight="1">
      <c r="B838" s="260" t="s">
        <v>290</v>
      </c>
      <c r="D838" s="35" t="str">
        <f>IF(B838=0,0,VLOOKUP(B838,EQUIP,3,FALSE))</f>
        <v>TANQUE DE ESTOCAGEM DE ASFALTO - 20.000l</v>
      </c>
      <c r="E838" s="36"/>
      <c r="F838" s="36"/>
      <c r="G838" s="36"/>
      <c r="H838" s="37"/>
      <c r="I838" s="55">
        <v>2</v>
      </c>
      <c r="J838" s="39">
        <v>1</v>
      </c>
      <c r="K838" s="39">
        <v>0</v>
      </c>
      <c r="L838" s="215">
        <f>IF(B838=0,0,VLOOKUP(B838,EQUIP,6,FALSE))</f>
        <v>5.1100000000000003</v>
      </c>
      <c r="M838" s="38">
        <f>IF(B838=0,0,VLOOKUP(B838,EQUIP,7,FALSE))</f>
        <v>0</v>
      </c>
      <c r="N838" s="269">
        <f>ROUND(I838*J838*L838+I838*K838*M838,2)</f>
        <v>10.220000000000001</v>
      </c>
    </row>
    <row r="839" spans="2:14" ht="20.100000000000001" customHeight="1">
      <c r="B839" s="260" t="s">
        <v>295</v>
      </c>
      <c r="D839" s="35" t="str">
        <f>IF(B839=0,0,VLOOKUP(B839,EQUIP,3,FALSE))</f>
        <v>VASSOURA</v>
      </c>
      <c r="E839" s="36"/>
      <c r="F839" s="36"/>
      <c r="G839" s="36"/>
      <c r="H839" s="37"/>
      <c r="I839" s="55">
        <v>1</v>
      </c>
      <c r="J839" s="38">
        <v>0.35</v>
      </c>
      <c r="K839" s="38">
        <v>0.65</v>
      </c>
      <c r="L839" s="215">
        <f>IF(B839=0,0,VLOOKUP(B839,EQUIP,6,FALSE))</f>
        <v>3.83</v>
      </c>
      <c r="M839" s="38">
        <f>IF(B839=0,0,VLOOKUP(B839,EQUIP,7,FALSE))</f>
        <v>0</v>
      </c>
      <c r="N839" s="269">
        <f>ROUND(I839*J839*L839+I839*K839*M839,2)</f>
        <v>1.34</v>
      </c>
    </row>
    <row r="840" spans="2:14" ht="20.100000000000001" customHeight="1">
      <c r="B840" s="260"/>
      <c r="D840" s="35"/>
      <c r="E840" s="36"/>
      <c r="F840" s="36"/>
      <c r="G840" s="36"/>
      <c r="H840" s="37"/>
      <c r="I840" s="55"/>
      <c r="J840" s="39"/>
      <c r="K840" s="39"/>
      <c r="L840" s="55"/>
      <c r="M840" s="39"/>
      <c r="N840" s="319">
        <f>ROUND(I840*J840*L840+I840*K840*M840,2)</f>
        <v>0</v>
      </c>
    </row>
    <row r="841" spans="2:14" ht="20.100000000000001" customHeight="1">
      <c r="D841" s="40"/>
      <c r="E841" s="41"/>
      <c r="F841" s="41"/>
      <c r="G841" s="41"/>
      <c r="H841" s="41"/>
      <c r="I841" s="216"/>
      <c r="J841" s="41"/>
      <c r="K841" s="41"/>
      <c r="L841" s="216"/>
      <c r="M841" s="42" t="s">
        <v>89</v>
      </c>
      <c r="N841" s="270">
        <f>SUM(N836:N840)</f>
        <v>169.17</v>
      </c>
    </row>
    <row r="842" spans="2:14" ht="3.95" customHeight="1">
      <c r="D842" s="43"/>
      <c r="E842" s="44"/>
      <c r="F842" s="44"/>
      <c r="G842" s="45"/>
      <c r="H842" s="44"/>
      <c r="I842" s="217"/>
      <c r="J842" s="46"/>
      <c r="K842" s="47"/>
      <c r="L842" s="48"/>
      <c r="M842" s="48"/>
      <c r="N842" s="271"/>
    </row>
    <row r="843" spans="2:14" ht="20.100000000000001" customHeight="1">
      <c r="D843" s="518" t="s">
        <v>90</v>
      </c>
      <c r="E843" s="519"/>
      <c r="F843" s="519"/>
      <c r="G843" s="519"/>
      <c r="H843" s="519"/>
      <c r="I843" s="519"/>
      <c r="J843" s="513"/>
      <c r="K843" s="50" t="s">
        <v>91</v>
      </c>
      <c r="L843" s="51" t="s">
        <v>92</v>
      </c>
      <c r="M843" s="51" t="s">
        <v>93</v>
      </c>
      <c r="N843" s="272" t="s">
        <v>94</v>
      </c>
    </row>
    <row r="844" spans="2:14" ht="20.100000000000001" customHeight="1">
      <c r="B844" s="260" t="s">
        <v>250</v>
      </c>
      <c r="D844" s="52" t="str">
        <f>IF(B844=0,0,VLOOKUP(B844,MO,2,FALSE))</f>
        <v>ENCARREGADO DE PAVIMENTAÇÃO</v>
      </c>
      <c r="E844" s="53"/>
      <c r="F844" s="53"/>
      <c r="G844" s="53"/>
      <c r="H844" s="53"/>
      <c r="I844" s="36"/>
      <c r="J844" s="54"/>
      <c r="K844" s="39"/>
      <c r="L844" s="55">
        <v>1</v>
      </c>
      <c r="M844" s="55">
        <f>IF(B844=0,0,VLOOKUP(B844,MO,6,FALSE))</f>
        <v>44.786799999999999</v>
      </c>
      <c r="N844" s="273">
        <f>ROUND(L844*M844,2)</f>
        <v>44.79</v>
      </c>
    </row>
    <row r="845" spans="2:14" ht="20.100000000000001" customHeight="1">
      <c r="B845" s="260" t="s">
        <v>248</v>
      </c>
      <c r="D845" s="52" t="str">
        <f>IF(B845=0,0,VLOOKUP(B845,MO,2,FALSE))</f>
        <v>SERVENTE</v>
      </c>
      <c r="E845" s="53"/>
      <c r="F845" s="53"/>
      <c r="G845" s="53"/>
      <c r="H845" s="53"/>
      <c r="I845" s="36"/>
      <c r="J845" s="54"/>
      <c r="K845" s="39"/>
      <c r="L845" s="55">
        <v>2</v>
      </c>
      <c r="M845" s="55">
        <f>IF(B845=0,0,VLOOKUP(B845,MO,6,FALSE))</f>
        <v>7.9973000000000001</v>
      </c>
      <c r="N845" s="273">
        <f>ROUND(L845*M845,2)</f>
        <v>15.99</v>
      </c>
    </row>
    <row r="846" spans="2:14" ht="20.100000000000001" customHeight="1">
      <c r="B846" s="260"/>
      <c r="D846" s="52" t="s">
        <v>122</v>
      </c>
      <c r="E846" s="53"/>
      <c r="F846" s="53"/>
      <c r="G846" s="53"/>
      <c r="H846" s="53"/>
      <c r="I846" s="36"/>
      <c r="J846" s="54"/>
      <c r="K846" s="56">
        <v>0</v>
      </c>
      <c r="L846" s="57">
        <f>N844+N845</f>
        <v>60.78</v>
      </c>
      <c r="M846" s="55"/>
      <c r="N846" s="446">
        <f>ROUND(K846*L846,2)</f>
        <v>0</v>
      </c>
    </row>
    <row r="847" spans="2:14" ht="20.100000000000001" customHeight="1">
      <c r="D847" s="58"/>
      <c r="E847" s="59"/>
      <c r="F847" s="60"/>
      <c r="G847" s="60"/>
      <c r="H847" s="44"/>
      <c r="I847" s="217"/>
      <c r="J847" s="61"/>
      <c r="K847" s="47"/>
      <c r="L847" s="48"/>
      <c r="M847" s="62" t="s">
        <v>98</v>
      </c>
      <c r="N847" s="270">
        <f>SUM(N844:N846)</f>
        <v>60.78</v>
      </c>
    </row>
    <row r="848" spans="2:14" ht="3.95" customHeight="1">
      <c r="D848" s="43"/>
      <c r="E848" s="44"/>
      <c r="F848" s="44"/>
      <c r="G848" s="44"/>
      <c r="H848" s="44"/>
      <c r="I848" s="217"/>
      <c r="J848" s="61"/>
      <c r="K848" s="47"/>
      <c r="L848" s="48"/>
      <c r="M848" s="48"/>
      <c r="N848" s="271"/>
    </row>
    <row r="849" spans="2:14" ht="20.100000000000001" customHeight="1">
      <c r="D849" s="40"/>
      <c r="E849" s="60"/>
      <c r="F849" s="60"/>
      <c r="G849" s="60"/>
      <c r="H849" s="63"/>
      <c r="I849" s="218"/>
      <c r="J849" s="63"/>
      <c r="K849" s="558" t="s">
        <v>99</v>
      </c>
      <c r="L849" s="559"/>
      <c r="M849" s="560"/>
      <c r="N849" s="275">
        <f>+N841+N847</f>
        <v>229.95</v>
      </c>
    </row>
    <row r="850" spans="2:14" ht="3.95" customHeight="1">
      <c r="D850" s="64"/>
      <c r="E850" s="44"/>
      <c r="F850" s="44"/>
      <c r="G850" s="45"/>
      <c r="H850" s="44"/>
      <c r="I850" s="217"/>
      <c r="J850" s="46"/>
      <c r="K850" s="47"/>
      <c r="L850" s="48"/>
      <c r="M850" s="48"/>
      <c r="N850" s="271"/>
    </row>
    <row r="851" spans="2:14" ht="20.100000000000001" customHeight="1">
      <c r="D851" s="58"/>
      <c r="E851" s="509" t="s">
        <v>100</v>
      </c>
      <c r="F851" s="510"/>
      <c r="G851" s="510"/>
      <c r="H851" s="511"/>
      <c r="I851" s="219">
        <v>1050</v>
      </c>
      <c r="J851" s="48"/>
      <c r="K851" s="551" t="s">
        <v>165</v>
      </c>
      <c r="L851" s="552"/>
      <c r="M851" s="552"/>
      <c r="N851" s="276">
        <f>ROUND(N849/I851,2)</f>
        <v>0.22</v>
      </c>
    </row>
    <row r="852" spans="2:14" ht="3.95" customHeight="1">
      <c r="D852" s="43"/>
      <c r="E852" s="44"/>
      <c r="F852" s="44"/>
      <c r="G852" s="65"/>
      <c r="H852" s="44"/>
      <c r="I852" s="48"/>
      <c r="J852" s="46"/>
      <c r="K852" s="46"/>
      <c r="L852" s="48"/>
      <c r="M852" s="46"/>
      <c r="N852" s="277"/>
    </row>
    <row r="853" spans="2:14" ht="20.100000000000001" customHeight="1">
      <c r="D853" s="49" t="s">
        <v>102</v>
      </c>
      <c r="E853" s="22"/>
      <c r="F853" s="22"/>
      <c r="G853" s="22"/>
      <c r="H853" s="22"/>
      <c r="I853" s="141"/>
      <c r="J853" s="23"/>
      <c r="K853" s="50" t="s">
        <v>103</v>
      </c>
      <c r="L853" s="51" t="s">
        <v>80</v>
      </c>
      <c r="M853" s="51" t="s">
        <v>104</v>
      </c>
      <c r="N853" s="272" t="s">
        <v>105</v>
      </c>
    </row>
    <row r="854" spans="2:14" ht="20.100000000000001" customHeight="1">
      <c r="B854" s="260"/>
      <c r="D854" s="52"/>
      <c r="E854" s="53"/>
      <c r="F854" s="53"/>
      <c r="G854" s="53"/>
      <c r="H854" s="53"/>
      <c r="I854" s="36"/>
      <c r="J854" s="54"/>
      <c r="K854" s="66"/>
      <c r="L854" s="67"/>
      <c r="M854" s="68"/>
      <c r="N854" s="273"/>
    </row>
    <row r="855" spans="2:14" ht="20.100000000000001" customHeight="1">
      <c r="B855" s="260"/>
      <c r="D855" s="52"/>
      <c r="E855" s="53"/>
      <c r="F855" s="53"/>
      <c r="G855" s="53"/>
      <c r="H855" s="53"/>
      <c r="I855" s="36"/>
      <c r="J855" s="54"/>
      <c r="K855" s="66"/>
      <c r="L855" s="67"/>
      <c r="M855" s="75"/>
      <c r="N855" s="445">
        <f>ROUND(L855*M855,2)</f>
        <v>0</v>
      </c>
    </row>
    <row r="856" spans="2:14" ht="20.100000000000001" customHeight="1">
      <c r="D856" s="43"/>
      <c r="E856" s="44"/>
      <c r="F856" s="44"/>
      <c r="G856" s="65"/>
      <c r="H856" s="44"/>
      <c r="I856" s="48"/>
      <c r="J856" s="46"/>
      <c r="K856" s="46"/>
      <c r="L856" s="48"/>
      <c r="M856" s="71" t="s">
        <v>106</v>
      </c>
      <c r="N856" s="441">
        <f>SUM(N855)</f>
        <v>0</v>
      </c>
    </row>
    <row r="857" spans="2:14" ht="3.95" customHeight="1">
      <c r="D857" s="43"/>
      <c r="E857" s="44"/>
      <c r="F857" s="44"/>
      <c r="G857" s="65"/>
      <c r="H857" s="44"/>
      <c r="I857" s="48"/>
      <c r="J857" s="46"/>
      <c r="K857" s="46"/>
      <c r="L857" s="48"/>
      <c r="M857" s="46"/>
      <c r="N857" s="277"/>
    </row>
    <row r="858" spans="2:14" ht="20.100000000000001" customHeight="1">
      <c r="D858" s="527" t="s">
        <v>107</v>
      </c>
      <c r="E858" s="72" t="s">
        <v>2</v>
      </c>
      <c r="F858" s="73"/>
      <c r="G858" s="73"/>
      <c r="H858" s="74"/>
      <c r="I858" s="498" t="s">
        <v>108</v>
      </c>
      <c r="J858" s="499"/>
      <c r="K858" s="531"/>
      <c r="L858" s="514" t="s">
        <v>80</v>
      </c>
      <c r="M858" s="531" t="s">
        <v>109</v>
      </c>
      <c r="N858" s="529" t="s">
        <v>105</v>
      </c>
    </row>
    <row r="859" spans="2:14" ht="20.100000000000001" customHeight="1">
      <c r="D859" s="528"/>
      <c r="E859" s="512" t="s">
        <v>110</v>
      </c>
      <c r="F859" s="513"/>
      <c r="G859" s="512" t="s">
        <v>111</v>
      </c>
      <c r="H859" s="513"/>
      <c r="I859" s="500"/>
      <c r="J859" s="501"/>
      <c r="K859" s="532"/>
      <c r="L859" s="515"/>
      <c r="M859" s="532"/>
      <c r="N859" s="530"/>
    </row>
    <row r="860" spans="2:14" ht="20.100000000000001" customHeight="1">
      <c r="B860" s="260"/>
      <c r="D860" s="261"/>
      <c r="E860" s="504"/>
      <c r="F860" s="505"/>
      <c r="G860" s="502"/>
      <c r="H860" s="503"/>
      <c r="I860" s="533"/>
      <c r="J860" s="534"/>
      <c r="K860" s="66"/>
      <c r="L860" s="67"/>
      <c r="M860" s="70"/>
      <c r="N860" s="278"/>
    </row>
    <row r="861" spans="2:14" ht="20.100000000000001" customHeight="1">
      <c r="B861" s="260"/>
      <c r="D861" s="261"/>
      <c r="E861" s="504"/>
      <c r="F861" s="505"/>
      <c r="G861" s="502"/>
      <c r="H861" s="503"/>
      <c r="I861" s="533"/>
      <c r="J861" s="534"/>
      <c r="K861" s="66"/>
      <c r="L861" s="67"/>
      <c r="M861" s="70"/>
      <c r="N861" s="278"/>
    </row>
    <row r="862" spans="2:14" ht="20.100000000000001" customHeight="1">
      <c r="D862" s="375"/>
      <c r="E862" s="376"/>
      <c r="F862" s="377"/>
      <c r="G862" s="378"/>
      <c r="H862" s="377"/>
      <c r="I862" s="379"/>
      <c r="J862" s="380"/>
      <c r="K862" s="46"/>
      <c r="L862" s="48"/>
      <c r="M862" s="71" t="s">
        <v>112</v>
      </c>
      <c r="N862" s="441">
        <f>SUM(N860:N861)</f>
        <v>0</v>
      </c>
    </row>
    <row r="863" spans="2:14" ht="3.95" customHeight="1">
      <c r="D863" s="76"/>
      <c r="E863" s="44"/>
      <c r="F863" s="65"/>
      <c r="G863" s="44"/>
      <c r="H863" s="46"/>
      <c r="I863" s="48"/>
      <c r="J863" s="46"/>
      <c r="K863" s="46"/>
      <c r="L863" s="48"/>
      <c r="M863" s="46"/>
      <c r="N863" s="277"/>
    </row>
    <row r="864" spans="2:14" ht="20.100000000000001" customHeight="1">
      <c r="D864" s="40"/>
      <c r="E864" s="65"/>
      <c r="F864" s="65"/>
      <c r="G864" s="65"/>
      <c r="H864" s="44"/>
      <c r="I864" s="233"/>
      <c r="J864" s="143"/>
      <c r="K864" s="565" t="s">
        <v>129</v>
      </c>
      <c r="L864" s="566"/>
      <c r="M864" s="567"/>
      <c r="N864" s="279">
        <f>+N851+N856+N862</f>
        <v>0.22</v>
      </c>
    </row>
    <row r="865" spans="2:14" ht="20.100000000000001" customHeight="1">
      <c r="D865" s="98"/>
      <c r="E865" s="151"/>
      <c r="F865" s="46"/>
      <c r="G865" s="46"/>
      <c r="H865" s="46"/>
      <c r="I865" s="48"/>
      <c r="J865" s="46"/>
      <c r="K865" s="81" t="s">
        <v>115</v>
      </c>
      <c r="L865" s="360">
        <f>DI</f>
        <v>0.26700000000000002</v>
      </c>
      <c r="M865" s="83"/>
      <c r="N865" s="279">
        <f>L865*N864</f>
        <v>5.8740000000000001E-2</v>
      </c>
    </row>
    <row r="866" spans="2:14" ht="20.100000000000001" customHeight="1" thickBot="1">
      <c r="D866" s="84"/>
      <c r="E866" s="85"/>
      <c r="F866" s="85"/>
      <c r="G866" s="85"/>
      <c r="H866" s="85"/>
      <c r="I866" s="225"/>
      <c r="J866" s="85"/>
      <c r="K866" s="86" t="s">
        <v>147</v>
      </c>
      <c r="L866" s="280"/>
      <c r="M866" s="89"/>
      <c r="N866" s="281">
        <f>SUM(N864:N865)</f>
        <v>0.27873999999999999</v>
      </c>
    </row>
    <row r="867" spans="2:14" ht="3.95" customHeight="1" thickBot="1">
      <c r="D867" s="40"/>
      <c r="E867" s="46"/>
      <c r="F867" s="46"/>
      <c r="G867" s="46"/>
      <c r="H867" s="46"/>
      <c r="I867" s="48"/>
      <c r="J867" s="46"/>
    </row>
    <row r="868" spans="2:14" ht="20.100000000000001" customHeight="1">
      <c r="D868" s="555" t="s">
        <v>131</v>
      </c>
      <c r="E868" s="556"/>
      <c r="F868" s="556"/>
      <c r="G868" s="556"/>
      <c r="H868" s="556"/>
      <c r="I868" s="556"/>
      <c r="J868" s="557"/>
      <c r="K868" s="146" t="s">
        <v>103</v>
      </c>
      <c r="L868" s="19" t="s">
        <v>80</v>
      </c>
      <c r="M868" s="19" t="s">
        <v>104</v>
      </c>
      <c r="N868" s="297" t="s">
        <v>105</v>
      </c>
    </row>
    <row r="869" spans="2:14" ht="20.100000000000001" customHeight="1">
      <c r="B869" s="260" t="s">
        <v>359</v>
      </c>
      <c r="D869" s="264" t="str">
        <f>IF(B869=0,0,VLOOKUP(B869,MAT_BET,3,FALSE))</f>
        <v>AQUISIÇÃO CM-30</v>
      </c>
      <c r="E869" s="265"/>
      <c r="F869" s="265"/>
      <c r="G869" s="265"/>
      <c r="H869" s="265"/>
      <c r="I869" s="265"/>
      <c r="J869" s="266"/>
      <c r="K869" s="262" t="str">
        <f>IF(B869=0,0,VLOOKUP(B869,MAT_BET,4,FALSE))</f>
        <v>T</v>
      </c>
      <c r="L869" s="267">
        <f>IF(B869=0,0,VLOOKUP(B869,MAT_BET,5,FALSE))</f>
        <v>1853</v>
      </c>
      <c r="M869" s="68">
        <v>1.16E-3</v>
      </c>
      <c r="N869" s="273">
        <f>ROUND(L869*M869,2)</f>
        <v>2.15</v>
      </c>
    </row>
    <row r="870" spans="2:14" ht="20.100000000000001" customHeight="1">
      <c r="D870" s="114"/>
      <c r="E870" s="59"/>
      <c r="F870" s="59"/>
      <c r="G870" s="59"/>
      <c r="H870" s="59"/>
      <c r="I870" s="91"/>
      <c r="J870" s="115"/>
      <c r="K870" s="81" t="s">
        <v>115</v>
      </c>
      <c r="L870" s="360">
        <f>DI</f>
        <v>0.26700000000000002</v>
      </c>
      <c r="M870" s="83"/>
      <c r="N870" s="279">
        <f>L870*N869</f>
        <v>0.57405000000000006</v>
      </c>
    </row>
    <row r="871" spans="2:14" ht="20.100000000000001" customHeight="1">
      <c r="D871" s="76"/>
      <c r="E871" s="77"/>
      <c r="F871" s="77"/>
      <c r="G871" s="77"/>
      <c r="H871" s="77"/>
      <c r="I871" s="156"/>
      <c r="J871" s="116"/>
      <c r="K871" s="81" t="s">
        <v>132</v>
      </c>
      <c r="L871" s="289"/>
      <c r="M871" s="83"/>
      <c r="N871" s="279">
        <f>N869+N870</f>
        <v>2.7240500000000001</v>
      </c>
    </row>
    <row r="872" spans="2:14" ht="20.100000000000001" customHeight="1">
      <c r="D872" s="117"/>
      <c r="E872" s="118"/>
      <c r="F872" s="118"/>
      <c r="G872" s="118"/>
      <c r="H872" s="118"/>
      <c r="I872" s="94"/>
      <c r="J872" s="119"/>
      <c r="K872" s="113" t="s">
        <v>103</v>
      </c>
      <c r="L872" s="34" t="s">
        <v>80</v>
      </c>
      <c r="M872" s="34" t="s">
        <v>104</v>
      </c>
      <c r="N872" s="288" t="s">
        <v>105</v>
      </c>
    </row>
    <row r="873" spans="2:14" ht="20.100000000000001" customHeight="1">
      <c r="B873" s="260" t="s">
        <v>364</v>
      </c>
      <c r="D873" s="264" t="str">
        <f>IF(B873=0,0,VLOOKUP(B873,MAT_BET,3,FALSE))</f>
        <v>TRANSPORTE CM-30</v>
      </c>
      <c r="E873" s="265"/>
      <c r="F873" s="265"/>
      <c r="G873" s="265"/>
      <c r="H873" s="265"/>
      <c r="I873" s="265"/>
      <c r="J873" s="266"/>
      <c r="K873" s="262" t="str">
        <f>IF(B873=0,0,VLOOKUP(B873,MAT_BET,4,FALSE))</f>
        <v>T</v>
      </c>
      <c r="L873" s="267">
        <f>IF(B873=0,0,VLOOKUP(B873,MAT_BET,5,FALSE))</f>
        <v>230.69</v>
      </c>
      <c r="M873" s="68">
        <v>1.16E-3</v>
      </c>
      <c r="N873" s="278">
        <f>(L873*M873)</f>
        <v>0.26760040000000002</v>
      </c>
    </row>
    <row r="874" spans="2:14" ht="20.100000000000001" customHeight="1">
      <c r="D874" s="114"/>
      <c r="E874" s="59"/>
      <c r="F874" s="59"/>
      <c r="G874" s="59"/>
      <c r="H874" s="59"/>
      <c r="I874" s="91"/>
      <c r="J874" s="115"/>
      <c r="K874" s="81" t="s">
        <v>115</v>
      </c>
      <c r="L874" s="360">
        <f>DI</f>
        <v>0.26700000000000002</v>
      </c>
      <c r="M874" s="83"/>
      <c r="N874" s="279">
        <f>L874*N873</f>
        <v>7.1449306800000015E-2</v>
      </c>
    </row>
    <row r="875" spans="2:14" ht="20.100000000000001" customHeight="1" thickBot="1">
      <c r="D875" s="76"/>
      <c r="E875" s="77"/>
      <c r="F875" s="77"/>
      <c r="G875" s="77"/>
      <c r="H875" s="77"/>
      <c r="I875" s="156"/>
      <c r="J875" s="116"/>
      <c r="K875" s="97" t="s">
        <v>133</v>
      </c>
      <c r="L875" s="290"/>
      <c r="M875" s="120"/>
      <c r="N875" s="291">
        <f>N873+N874</f>
        <v>0.33904970680000002</v>
      </c>
    </row>
    <row r="876" spans="2:14" ht="20.100000000000001" customHeight="1" thickBot="1">
      <c r="D876" s="121"/>
      <c r="E876" s="122"/>
      <c r="F876" s="122"/>
      <c r="G876" s="123"/>
      <c r="H876" s="122"/>
      <c r="I876" s="227"/>
      <c r="J876" s="124"/>
      <c r="K876" s="549" t="s">
        <v>134</v>
      </c>
      <c r="L876" s="549"/>
      <c r="M876" s="550"/>
      <c r="N876" s="292">
        <f>N871+N875</f>
        <v>3.0630997068000001</v>
      </c>
    </row>
    <row r="877" spans="2:14" ht="20.100000000000001" customHeight="1">
      <c r="D877" s="126"/>
      <c r="E877" s="108"/>
      <c r="F877" s="108"/>
      <c r="G877" s="109"/>
      <c r="H877" s="108"/>
      <c r="I877" s="228" t="s">
        <v>114</v>
      </c>
      <c r="J877" s="128"/>
      <c r="K877" s="128"/>
      <c r="L877" s="354">
        <v>0.02</v>
      </c>
      <c r="M877" s="129"/>
      <c r="N877" s="294">
        <f>(N864+N869+N873)*L877</f>
        <v>5.2752008000000003E-2</v>
      </c>
    </row>
    <row r="878" spans="2:14" ht="20.100000000000001" customHeight="1" thickBot="1">
      <c r="D878" s="130"/>
      <c r="E878" s="104"/>
      <c r="F878" s="104"/>
      <c r="G878" s="105"/>
      <c r="H878" s="104"/>
      <c r="I878" s="537" t="s">
        <v>149</v>
      </c>
      <c r="J878" s="538"/>
      <c r="K878" s="538"/>
      <c r="L878" s="538"/>
      <c r="M878" s="131"/>
      <c r="N878" s="295">
        <f>N864+N869+N873+N877</f>
        <v>2.6903524080000003</v>
      </c>
    </row>
    <row r="879" spans="2:14" ht="3.95" customHeight="1">
      <c r="D879" s="98"/>
      <c r="E879" s="99"/>
      <c r="F879" s="44"/>
      <c r="G879" s="65"/>
      <c r="H879" s="44"/>
      <c r="I879" s="48"/>
      <c r="J879" s="46"/>
      <c r="K879" s="46"/>
      <c r="L879" s="48"/>
      <c r="M879" s="100"/>
      <c r="N879" s="282"/>
    </row>
    <row r="880" spans="2:14" ht="20.100000000000001" customHeight="1" thickBot="1">
      <c r="D880" s="137"/>
      <c r="E880" s="138"/>
      <c r="F880" s="138"/>
      <c r="G880" s="138"/>
      <c r="H880" s="138"/>
      <c r="I880" s="232" t="s">
        <v>158</v>
      </c>
      <c r="J880" s="149"/>
      <c r="K880" s="149"/>
      <c r="L880" s="358">
        <f>DI</f>
        <v>0.26700000000000002</v>
      </c>
      <c r="M880" s="140"/>
      <c r="N880" s="295">
        <f>N878*L880+N878</f>
        <v>3.4086765009360005</v>
      </c>
    </row>
    <row r="881" spans="2:14" ht="20.100000000000001" customHeight="1">
      <c r="D881" s="134"/>
      <c r="E881" s="134"/>
      <c r="F881" s="134"/>
      <c r="G881" s="134"/>
      <c r="H881" s="134"/>
      <c r="I881" s="366"/>
      <c r="J881" s="148"/>
      <c r="K881" s="148"/>
      <c r="L881" s="209"/>
      <c r="M881" s="136"/>
      <c r="N881" s="367"/>
    </row>
    <row r="882" spans="2:14" ht="20.100000000000001" customHeight="1">
      <c r="D882" s="153"/>
      <c r="E882" s="153"/>
      <c r="F882" s="153"/>
      <c r="G882" s="153"/>
      <c r="H882" s="153"/>
      <c r="I882" s="234"/>
      <c r="J882" s="154"/>
      <c r="K882" s="154"/>
      <c r="L882" s="293"/>
      <c r="M882" s="100"/>
      <c r="N882" s="311"/>
    </row>
    <row r="883" spans="2:14" ht="20.100000000000001" customHeight="1" thickBot="1">
      <c r="D883" s="138"/>
      <c r="E883" s="138"/>
      <c r="F883" s="138"/>
      <c r="G883" s="138"/>
      <c r="H883" s="138"/>
      <c r="I883" s="368"/>
      <c r="J883" s="149"/>
      <c r="K883" s="149"/>
      <c r="L883" s="212"/>
      <c r="M883" s="140"/>
      <c r="N883" s="312"/>
    </row>
    <row r="884" spans="2:14" ht="20.100000000000001" customHeight="1">
      <c r="B884" s="197" t="s">
        <v>199</v>
      </c>
      <c r="D884" s="520" t="s">
        <v>237</v>
      </c>
      <c r="E884" s="521"/>
      <c r="F884" s="542" t="s">
        <v>74</v>
      </c>
      <c r="G884" s="543"/>
      <c r="H884" s="543"/>
      <c r="I884" s="543"/>
      <c r="J884" s="543"/>
      <c r="K884" s="543"/>
      <c r="L884" s="544"/>
      <c r="M884" s="19" t="s">
        <v>75</v>
      </c>
      <c r="N884" s="20" t="s">
        <v>76</v>
      </c>
    </row>
    <row r="885" spans="2:14" ht="20.100000000000001" customHeight="1">
      <c r="D885" s="522"/>
      <c r="E885" s="523"/>
      <c r="F885" s="512" t="str">
        <f>VLOOKUP(B884,Resumo_Composições,3,FALSE)</f>
        <v>REPARO PROFUNDO (REMENDO)</v>
      </c>
      <c r="G885" s="519"/>
      <c r="H885" s="519"/>
      <c r="I885" s="519"/>
      <c r="J885" s="519"/>
      <c r="K885" s="519"/>
      <c r="L885" s="513"/>
      <c r="M885" s="24" t="str">
        <f>VLOOKUP(B884,Resumo_Composições,4,FALSE)</f>
        <v>M3</v>
      </c>
      <c r="N885" s="25">
        <f>DATA</f>
        <v>41214</v>
      </c>
    </row>
    <row r="886" spans="2:14" ht="20.100000000000001" customHeight="1">
      <c r="D886" s="26" t="s">
        <v>77</v>
      </c>
      <c r="E886" s="27"/>
      <c r="F886" s="27"/>
      <c r="G886" s="27"/>
      <c r="H886" s="28"/>
      <c r="I886" s="214" t="s">
        <v>78</v>
      </c>
      <c r="J886" s="509" t="s">
        <v>79</v>
      </c>
      <c r="K886" s="511"/>
      <c r="L886" s="535" t="s">
        <v>80</v>
      </c>
      <c r="M886" s="536"/>
      <c r="N886" s="516" t="s">
        <v>81</v>
      </c>
    </row>
    <row r="887" spans="2:14" ht="20.100000000000001" customHeight="1">
      <c r="D887" s="31"/>
      <c r="E887" s="32"/>
      <c r="F887" s="32"/>
      <c r="G887" s="32"/>
      <c r="H887" s="33"/>
      <c r="I887" s="34"/>
      <c r="J887" s="51" t="s">
        <v>82</v>
      </c>
      <c r="K887" s="51" t="s">
        <v>83</v>
      </c>
      <c r="L887" s="51" t="s">
        <v>82</v>
      </c>
      <c r="M887" s="51" t="s">
        <v>84</v>
      </c>
      <c r="N887" s="517"/>
    </row>
    <row r="888" spans="2:14" ht="20.100000000000001" customHeight="1">
      <c r="B888" s="260" t="s">
        <v>272</v>
      </c>
      <c r="D888" s="35" t="str">
        <f>IF(B888=0,0,VLOOKUP(B888,EQUIP,3,FALSE))</f>
        <v>COMPRESSOR DE AR (59KW)</v>
      </c>
      <c r="E888" s="36"/>
      <c r="F888" s="36"/>
      <c r="G888" s="36"/>
      <c r="H888" s="37"/>
      <c r="I888" s="215">
        <v>1</v>
      </c>
      <c r="J888" s="38">
        <v>0.3</v>
      </c>
      <c r="K888" s="38">
        <f>1-J888</f>
        <v>0.7</v>
      </c>
      <c r="L888" s="215">
        <f>IF(B888=0,0,VLOOKUP(B888,EQUIP,6,FALSE))</f>
        <v>50.66</v>
      </c>
      <c r="M888" s="38">
        <f>IF(B888=0,0,VLOOKUP(B888,EQUIP,7,FALSE))</f>
        <v>17.27</v>
      </c>
      <c r="N888" s="269">
        <f>ROUND(I888*J888*L888+I888*K888*M888,2)</f>
        <v>27.29</v>
      </c>
    </row>
    <row r="889" spans="2:14" ht="20.100000000000001" customHeight="1">
      <c r="B889" s="260" t="s">
        <v>280</v>
      </c>
      <c r="D889" s="35" t="str">
        <f>IF(B889=0,0,VLOOKUP(B889,EQUIP,3,FALSE))</f>
        <v>MARTELETE - ROMPEDOR 28KG</v>
      </c>
      <c r="E889" s="36"/>
      <c r="F889" s="36"/>
      <c r="G889" s="36"/>
      <c r="H889" s="37"/>
      <c r="I889" s="215">
        <v>1</v>
      </c>
      <c r="J889" s="38">
        <v>0.3</v>
      </c>
      <c r="K889" s="38">
        <f>1-J889</f>
        <v>0.7</v>
      </c>
      <c r="L889" s="215">
        <f>IF(B889=0,0,VLOOKUP(B889,EQUIP,6,FALSE))</f>
        <v>16.07</v>
      </c>
      <c r="M889" s="38">
        <f>IF(B889=0,0,VLOOKUP(B889,EQUIP,7,FALSE))</f>
        <v>13.36</v>
      </c>
      <c r="N889" s="269">
        <f>ROUND(I889*J889*L889+I889*K889*M889,2)</f>
        <v>14.17</v>
      </c>
    </row>
    <row r="890" spans="2:14" ht="20.100000000000001" customHeight="1">
      <c r="B890" s="260" t="s">
        <v>271</v>
      </c>
      <c r="D890" s="35" t="str">
        <f>IF(B890=0,0,VLOOKUP(B890,EQUIP,3,FALSE))</f>
        <v>COMPACTADOR MANUAL - soquete vibratório</v>
      </c>
      <c r="E890" s="36"/>
      <c r="F890" s="36"/>
      <c r="G890" s="36"/>
      <c r="H890" s="37"/>
      <c r="I890" s="215">
        <v>1</v>
      </c>
      <c r="J890" s="38">
        <v>0.5</v>
      </c>
      <c r="K890" s="38">
        <f>1-J890</f>
        <v>0.5</v>
      </c>
      <c r="L890" s="215">
        <f>IF(B890=0,0,VLOOKUP(B890,EQUIP,6,FALSE))</f>
        <v>17.47</v>
      </c>
      <c r="M890" s="38">
        <f>IF(B890=0,0,VLOOKUP(B890,EQUIP,7,FALSE))</f>
        <v>15.355</v>
      </c>
      <c r="N890" s="269">
        <f>ROUND(I890*J890*L890+I890*K890*M890,2)</f>
        <v>16.41</v>
      </c>
    </row>
    <row r="891" spans="2:14" ht="20.100000000000001" customHeight="1">
      <c r="B891" s="260" t="s">
        <v>270</v>
      </c>
      <c r="D891" s="35" t="str">
        <f>IF(B891=0,0,VLOOKUP(B891,EQUIP,3,FALSE))</f>
        <v>COMPACTADOR MANUAL - placa vibratória (3kW)</v>
      </c>
      <c r="E891" s="36"/>
      <c r="F891" s="36"/>
      <c r="G891" s="36"/>
      <c r="H891" s="37"/>
      <c r="I891" s="215">
        <v>1</v>
      </c>
      <c r="J891" s="38">
        <v>0.3</v>
      </c>
      <c r="K891" s="38">
        <f>1-J891</f>
        <v>0.7</v>
      </c>
      <c r="L891" s="215">
        <f>IF(B891=0,0,VLOOKUP(B891,EQUIP,6,FALSE))</f>
        <v>17.11</v>
      </c>
      <c r="M891" s="38">
        <f>IF(B891=0,0,VLOOKUP(B891,EQUIP,7,FALSE))</f>
        <v>15.33</v>
      </c>
      <c r="N891" s="269">
        <f>ROUND(I891*J891*L891+I891*K891*M891,2)</f>
        <v>15.86</v>
      </c>
    </row>
    <row r="892" spans="2:14" ht="20.100000000000001" customHeight="1">
      <c r="B892" s="260"/>
      <c r="D892" s="35"/>
      <c r="E892" s="36"/>
      <c r="F892" s="36"/>
      <c r="G892" s="36"/>
      <c r="H892" s="37"/>
      <c r="I892" s="55"/>
      <c r="J892" s="142"/>
      <c r="K892" s="39"/>
      <c r="L892" s="57"/>
      <c r="M892" s="39"/>
      <c r="N892" s="269"/>
    </row>
    <row r="893" spans="2:14" ht="20.100000000000001" customHeight="1">
      <c r="D893" s="40"/>
      <c r="E893" s="41"/>
      <c r="F893" s="41"/>
      <c r="G893" s="41"/>
      <c r="H893" s="41"/>
      <c r="I893" s="216"/>
      <c r="J893" s="41"/>
      <c r="K893" s="41"/>
      <c r="L893" s="216"/>
      <c r="M893" s="42" t="s">
        <v>89</v>
      </c>
      <c r="N893" s="270">
        <f>SUM(N888:N892)</f>
        <v>73.73</v>
      </c>
    </row>
    <row r="894" spans="2:14" ht="3.95" customHeight="1">
      <c r="D894" s="43"/>
      <c r="E894" s="44"/>
      <c r="F894" s="44"/>
      <c r="G894" s="45"/>
      <c r="H894" s="44"/>
      <c r="I894" s="217"/>
      <c r="J894" s="46"/>
      <c r="K894" s="47"/>
      <c r="L894" s="48"/>
      <c r="M894" s="48"/>
      <c r="N894" s="271"/>
    </row>
    <row r="895" spans="2:14" ht="20.100000000000001" customHeight="1">
      <c r="D895" s="584" t="s">
        <v>90</v>
      </c>
      <c r="E895" s="585"/>
      <c r="F895" s="22"/>
      <c r="G895" s="22"/>
      <c r="H895" s="22"/>
      <c r="I895" s="141"/>
      <c r="J895" s="23"/>
      <c r="K895" s="50" t="s">
        <v>91</v>
      </c>
      <c r="L895" s="51" t="s">
        <v>92</v>
      </c>
      <c r="M895" s="51" t="s">
        <v>93</v>
      </c>
      <c r="N895" s="272" t="s">
        <v>94</v>
      </c>
    </row>
    <row r="896" spans="2:14" ht="20.100000000000001" customHeight="1">
      <c r="B896" s="260" t="s">
        <v>247</v>
      </c>
      <c r="D896" s="52" t="str">
        <f>IF(B896=0,0,VLOOKUP(B896,MO,2,FALSE))</f>
        <v>ENCARREGADO DE TURMA</v>
      </c>
      <c r="E896" s="53"/>
      <c r="F896" s="53"/>
      <c r="G896" s="53"/>
      <c r="H896" s="53"/>
      <c r="I896" s="36"/>
      <c r="J896" s="54"/>
      <c r="K896" s="39"/>
      <c r="L896" s="55">
        <v>1</v>
      </c>
      <c r="M896" s="55">
        <f>IF(B896=0,0,VLOOKUP(B896,MO,6,FALSE))</f>
        <v>27</v>
      </c>
      <c r="N896" s="273">
        <f>ROUND(L896*M896,2)</f>
        <v>27</v>
      </c>
    </row>
    <row r="897" spans="2:14" ht="20.100000000000001" customHeight="1">
      <c r="B897" s="260" t="s">
        <v>248</v>
      </c>
      <c r="D897" s="52" t="str">
        <f>IF(B897=0,0,VLOOKUP(B897,MO,2,FALSE))</f>
        <v>SERVENTE</v>
      </c>
      <c r="E897" s="53"/>
      <c r="F897" s="53"/>
      <c r="G897" s="53"/>
      <c r="H897" s="53"/>
      <c r="I897" s="36"/>
      <c r="J897" s="54"/>
      <c r="K897" s="39"/>
      <c r="L897" s="55">
        <v>6</v>
      </c>
      <c r="M897" s="55">
        <f>IF(B897=0,0,VLOOKUP(B897,MO,6,FALSE))</f>
        <v>7.9973000000000001</v>
      </c>
      <c r="N897" s="273">
        <f>ROUND(L897*M897,2)</f>
        <v>47.98</v>
      </c>
    </row>
    <row r="898" spans="2:14" ht="20.100000000000001" customHeight="1">
      <c r="B898" s="260"/>
      <c r="D898" s="52" t="s">
        <v>97</v>
      </c>
      <c r="E898" s="53"/>
      <c r="F898" s="53"/>
      <c r="G898" s="53"/>
      <c r="H898" s="53"/>
      <c r="I898" s="36"/>
      <c r="J898" s="54"/>
      <c r="K898" s="56">
        <v>0.05</v>
      </c>
      <c r="L898" s="57">
        <f>+N896+N897</f>
        <v>74.97999999999999</v>
      </c>
      <c r="M898" s="55"/>
      <c r="N898" s="274">
        <f>ROUND(K898*L898,2)</f>
        <v>3.75</v>
      </c>
    </row>
    <row r="899" spans="2:14" ht="20.100000000000001" customHeight="1">
      <c r="D899" s="58"/>
      <c r="E899" s="59"/>
      <c r="F899" s="60"/>
      <c r="G899" s="60"/>
      <c r="H899" s="44"/>
      <c r="I899" s="217"/>
      <c r="J899" s="61"/>
      <c r="K899" s="47"/>
      <c r="L899" s="48"/>
      <c r="M899" s="62" t="s">
        <v>98</v>
      </c>
      <c r="N899" s="270">
        <f>SUM(N896:N898)</f>
        <v>78.72999999999999</v>
      </c>
    </row>
    <row r="900" spans="2:14" ht="3.95" customHeight="1">
      <c r="D900" s="43"/>
      <c r="E900" s="44"/>
      <c r="F900" s="44"/>
      <c r="G900" s="44"/>
      <c r="H900" s="44"/>
      <c r="I900" s="217"/>
      <c r="J900" s="61"/>
      <c r="K900" s="47"/>
      <c r="L900" s="48"/>
      <c r="M900" s="48"/>
      <c r="N900" s="271"/>
    </row>
    <row r="901" spans="2:14" ht="20.100000000000001" customHeight="1">
      <c r="D901" s="40"/>
      <c r="E901" s="60"/>
      <c r="F901" s="60"/>
      <c r="G901" s="60"/>
      <c r="H901" s="63"/>
      <c r="I901" s="218"/>
      <c r="J901" s="63"/>
      <c r="K901" s="509" t="s">
        <v>99</v>
      </c>
      <c r="L901" s="510"/>
      <c r="M901" s="511"/>
      <c r="N901" s="275">
        <f>+N893+N899</f>
        <v>152.45999999999998</v>
      </c>
    </row>
    <row r="902" spans="2:14" ht="3.95" customHeight="1">
      <c r="D902" s="64"/>
      <c r="E902" s="44"/>
      <c r="F902" s="44"/>
      <c r="G902" s="45"/>
      <c r="H902" s="44"/>
      <c r="I902" s="217"/>
      <c r="J902" s="46"/>
      <c r="K902" s="47"/>
      <c r="L902" s="48"/>
      <c r="M902" s="48"/>
      <c r="N902" s="271"/>
    </row>
    <row r="903" spans="2:14" ht="20.100000000000001" customHeight="1">
      <c r="D903" s="58"/>
      <c r="E903" s="509" t="s">
        <v>100</v>
      </c>
      <c r="F903" s="510"/>
      <c r="G903" s="510"/>
      <c r="H903" s="511"/>
      <c r="I903" s="219">
        <v>1</v>
      </c>
      <c r="J903" s="48"/>
      <c r="K903" s="506" t="s">
        <v>101</v>
      </c>
      <c r="L903" s="507"/>
      <c r="M903" s="507"/>
      <c r="N903" s="276">
        <f>ROUND(N901/I903,2)</f>
        <v>152.46</v>
      </c>
    </row>
    <row r="904" spans="2:14" ht="3.95" customHeight="1">
      <c r="D904" s="43"/>
      <c r="E904" s="44"/>
      <c r="F904" s="44"/>
      <c r="G904" s="65"/>
      <c r="H904" s="44"/>
      <c r="I904" s="48"/>
      <c r="J904" s="46"/>
      <c r="K904" s="46"/>
      <c r="L904" s="48"/>
      <c r="M904" s="46"/>
      <c r="N904" s="277"/>
    </row>
    <row r="905" spans="2:14" ht="20.100000000000001" customHeight="1">
      <c r="D905" s="49" t="s">
        <v>102</v>
      </c>
      <c r="E905" s="22"/>
      <c r="F905" s="22"/>
      <c r="G905" s="22"/>
      <c r="H905" s="22"/>
      <c r="I905" s="141"/>
      <c r="J905" s="23"/>
      <c r="K905" s="50" t="s">
        <v>103</v>
      </c>
      <c r="L905" s="51" t="s">
        <v>80</v>
      </c>
      <c r="M905" s="51" t="s">
        <v>104</v>
      </c>
      <c r="N905" s="272" t="s">
        <v>105</v>
      </c>
    </row>
    <row r="906" spans="2:14" ht="20.100000000000001" customHeight="1">
      <c r="B906" s="260" t="s">
        <v>315</v>
      </c>
      <c r="D906" s="52" t="str">
        <f>IF(B906=0,0,VLOOKUP(B906,MAT,3,FALSE))</f>
        <v>MATERIAL DE BASE (CONS)</v>
      </c>
      <c r="E906" s="53"/>
      <c r="F906" s="53"/>
      <c r="G906" s="53"/>
      <c r="H906" s="53"/>
      <c r="I906" s="36"/>
      <c r="J906" s="54"/>
      <c r="K906" s="66" t="str">
        <f>IF(B906=0,0,VLOOKUP(B906,MAT,5,FALSE))</f>
        <v>M3</v>
      </c>
      <c r="L906" s="55">
        <f>IF(B906=0,0,VLOOKUP(B906,MAT,6,FALSE))</f>
        <v>4.99</v>
      </c>
      <c r="M906" s="433">
        <v>0.8</v>
      </c>
      <c r="N906" s="273">
        <f>ROUND(L906*M906,2)</f>
        <v>3.99</v>
      </c>
    </row>
    <row r="907" spans="2:14" ht="20.100000000000001" customHeight="1">
      <c r="B907" s="260" t="s">
        <v>312</v>
      </c>
      <c r="D907" s="52" t="str">
        <f>IF(B907=0,0,VLOOKUP(B907,MAT,3,FALSE))</f>
        <v>IMPRIMAÇAO</v>
      </c>
      <c r="E907" s="53"/>
      <c r="F907" s="53"/>
      <c r="G907" s="53"/>
      <c r="H907" s="53"/>
      <c r="I907" s="36"/>
      <c r="J907" s="54"/>
      <c r="K907" s="66" t="str">
        <f>IF(B907=0,0,VLOOKUP(B907,MAT,5,FALSE))</f>
        <v>M2</v>
      </c>
      <c r="L907" s="55">
        <f>IF(B907=0,0,VLOOKUP(B907,MAT,6,FALSE))</f>
        <v>0.22</v>
      </c>
      <c r="M907" s="433">
        <v>1</v>
      </c>
      <c r="N907" s="273">
        <f>ROUND(L907*M907,2)</f>
        <v>0.22</v>
      </c>
    </row>
    <row r="908" spans="2:14" ht="20.100000000000001" customHeight="1">
      <c r="B908" s="260" t="s">
        <v>316</v>
      </c>
      <c r="D908" s="52" t="str">
        <f>IF(B908=0,0,VLOOKUP(B908,MAT,3,FALSE))</f>
        <v>MISTURA BETUMINOSA</v>
      </c>
      <c r="E908" s="53"/>
      <c r="F908" s="53"/>
      <c r="G908" s="53"/>
      <c r="H908" s="53"/>
      <c r="I908" s="36"/>
      <c r="J908" s="54"/>
      <c r="K908" s="66" t="str">
        <f>IF(B908=0,0,VLOOKUP(B908,MAT,5,FALSE))</f>
        <v>T</v>
      </c>
      <c r="L908" s="55">
        <f>IF(B908=0,0,VLOOKUP(B908,MAT,6,FALSE))</f>
        <v>65.77427999999999</v>
      </c>
      <c r="M908" s="433">
        <v>0.2</v>
      </c>
      <c r="N908" s="273">
        <f>ROUND(L908*M908,2)</f>
        <v>13.15</v>
      </c>
    </row>
    <row r="909" spans="2:14" ht="20.100000000000001" customHeight="1">
      <c r="D909" s="43"/>
      <c r="E909" s="44"/>
      <c r="F909" s="44"/>
      <c r="G909" s="65"/>
      <c r="H909" s="44"/>
      <c r="I909" s="48"/>
      <c r="J909" s="46"/>
      <c r="K909" s="46"/>
      <c r="L909" s="48"/>
      <c r="M909" s="71" t="s">
        <v>106</v>
      </c>
      <c r="N909" s="270">
        <f>N906+N907+N908</f>
        <v>17.36</v>
      </c>
    </row>
    <row r="910" spans="2:14" ht="3.95" customHeight="1">
      <c r="D910" s="43"/>
      <c r="E910" s="44"/>
      <c r="F910" s="44"/>
      <c r="G910" s="65"/>
      <c r="H910" s="44"/>
      <c r="I910" s="48"/>
      <c r="J910" s="46"/>
      <c r="K910" s="46"/>
      <c r="L910" s="48"/>
      <c r="M910" s="46"/>
      <c r="N910" s="277"/>
    </row>
    <row r="911" spans="2:14" ht="20.100000000000001" customHeight="1">
      <c r="D911" s="527" t="s">
        <v>107</v>
      </c>
      <c r="E911" s="72" t="s">
        <v>2</v>
      </c>
      <c r="F911" s="73"/>
      <c r="G911" s="73"/>
      <c r="H911" s="74"/>
      <c r="I911" s="498" t="s">
        <v>108</v>
      </c>
      <c r="J911" s="499"/>
      <c r="K911" s="531" t="s">
        <v>103</v>
      </c>
      <c r="L911" s="514" t="s">
        <v>80</v>
      </c>
      <c r="M911" s="531" t="s">
        <v>109</v>
      </c>
      <c r="N911" s="529" t="s">
        <v>105</v>
      </c>
    </row>
    <row r="912" spans="2:14" ht="20.100000000000001" customHeight="1">
      <c r="D912" s="528"/>
      <c r="E912" s="512" t="s">
        <v>127</v>
      </c>
      <c r="F912" s="513"/>
      <c r="G912" s="512" t="s">
        <v>111</v>
      </c>
      <c r="H912" s="513"/>
      <c r="I912" s="500"/>
      <c r="J912" s="501"/>
      <c r="K912" s="532"/>
      <c r="L912" s="515"/>
      <c r="M912" s="532"/>
      <c r="N912" s="530"/>
    </row>
    <row r="913" spans="2:15" ht="20.100000000000001" customHeight="1">
      <c r="B913" s="260" t="s">
        <v>337</v>
      </c>
      <c r="D913" s="261" t="str">
        <f>IF(B913=0,0,VLOOKUP(B913,TRANS,3,FALSE))</f>
        <v>MATERIAL RETIRADO DA PISTA</v>
      </c>
      <c r="E913" s="504">
        <f>IF(B913=0,0,VLOOKUP(B913,TRANS,5,FALSE))</f>
        <v>0.33</v>
      </c>
      <c r="F913" s="505"/>
      <c r="G913" s="502"/>
      <c r="H913" s="503"/>
      <c r="I913" s="504">
        <f>IF(B913=0,0,VLOOKUP(B913,TRANS,6,FALSE))</f>
        <v>20</v>
      </c>
      <c r="J913" s="505"/>
      <c r="K913" s="262" t="str">
        <f>IF(B913=0,0,VLOOKUP(B913,TRANS,4,FALSE))</f>
        <v>T.KM</v>
      </c>
      <c r="L913" s="55">
        <f>E913*I913</f>
        <v>6.6000000000000005</v>
      </c>
      <c r="M913" s="433">
        <v>0.8</v>
      </c>
      <c r="N913" s="273">
        <f>ROUND(L913*M913,2)</f>
        <v>5.28</v>
      </c>
    </row>
    <row r="914" spans="2:15" ht="20.100000000000001" customHeight="1">
      <c r="B914" s="260" t="s">
        <v>335</v>
      </c>
      <c r="D914" s="261" t="str">
        <f>IF(B914=0,0,VLOOKUP(B914,TRANS,3,FALSE))</f>
        <v>MATERIAL DE BASE</v>
      </c>
      <c r="E914" s="504">
        <f>IF(B914=0,0,VLOOKUP(B914,TRANS,5,FALSE))</f>
        <v>0.33</v>
      </c>
      <c r="F914" s="505"/>
      <c r="G914" s="502"/>
      <c r="H914" s="503"/>
      <c r="I914" s="504">
        <f>IF(B914=0,0,VLOOKUP(B914,TRANS,6,FALSE))</f>
        <v>1</v>
      </c>
      <c r="J914" s="505"/>
      <c r="K914" s="262" t="str">
        <f>IF(B914=0,0,VLOOKUP(B914,TRANS,4,FALSE))</f>
        <v>T.KM</v>
      </c>
      <c r="L914" s="55">
        <f>E914*I914</f>
        <v>0.33</v>
      </c>
      <c r="M914" s="432">
        <v>0.8</v>
      </c>
      <c r="N914" s="273">
        <f>ROUND(L914*M914,2)</f>
        <v>0.26</v>
      </c>
    </row>
    <row r="915" spans="2:15" ht="20.100000000000001" customHeight="1">
      <c r="B915" s="260" t="s">
        <v>338</v>
      </c>
      <c r="D915" s="261" t="str">
        <f>IF(B915=0,0,VLOOKUP(B915,TRANS,3,FALSE))</f>
        <v>MISTURA BETUMINOSA</v>
      </c>
      <c r="E915" s="504">
        <f>IF(B915=0,0,VLOOKUP(B915,TRANS,5,FALSE))</f>
        <v>0.44</v>
      </c>
      <c r="F915" s="505"/>
      <c r="G915" s="502"/>
      <c r="H915" s="503"/>
      <c r="I915" s="504">
        <f>IF(B915=0,0,VLOOKUP(B915,TRANS,6,FALSE))</f>
        <v>45.53</v>
      </c>
      <c r="J915" s="505"/>
      <c r="K915" s="262" t="str">
        <f>IF(B915=0,0,VLOOKUP(B915,TRANS,4,FALSE))</f>
        <v>T.KM</v>
      </c>
      <c r="L915" s="55">
        <f>E915*I915</f>
        <v>20.033200000000001</v>
      </c>
      <c r="M915" s="432">
        <v>0.2</v>
      </c>
      <c r="N915" s="273">
        <f>ROUND(L915*M915,2)</f>
        <v>4.01</v>
      </c>
    </row>
    <row r="916" spans="2:15" ht="20.100000000000001" customHeight="1">
      <c r="D916" s="76"/>
      <c r="E916" s="77"/>
      <c r="F916" s="44"/>
      <c r="G916" s="65"/>
      <c r="H916" s="44"/>
      <c r="I916" s="48"/>
      <c r="J916" s="46"/>
      <c r="K916" s="46"/>
      <c r="L916" s="48"/>
      <c r="M916" s="71" t="s">
        <v>112</v>
      </c>
      <c r="N916" s="270">
        <f>SUM(N913:N915)</f>
        <v>9.5500000000000007</v>
      </c>
    </row>
    <row r="917" spans="2:15" ht="3.95" customHeight="1">
      <c r="D917" s="76"/>
      <c r="E917" s="44"/>
      <c r="F917" s="65"/>
      <c r="G917" s="44"/>
      <c r="H917" s="46"/>
      <c r="I917" s="48"/>
      <c r="J917" s="46"/>
      <c r="K917" s="46"/>
      <c r="L917" s="48"/>
      <c r="M917" s="46"/>
      <c r="N917" s="277"/>
    </row>
    <row r="918" spans="2:15" ht="20.100000000000001" customHeight="1">
      <c r="D918" s="40"/>
      <c r="E918" s="65"/>
      <c r="F918" s="65"/>
      <c r="G918" s="65"/>
      <c r="H918" s="44"/>
      <c r="I918" s="233"/>
      <c r="J918" s="143"/>
      <c r="K918" s="565" t="s">
        <v>129</v>
      </c>
      <c r="L918" s="566"/>
      <c r="M918" s="567"/>
      <c r="N918" s="279">
        <f>+N903+N909+N916</f>
        <v>179.37</v>
      </c>
    </row>
    <row r="919" spans="2:15" ht="20.100000000000001" customHeight="1">
      <c r="D919" s="98"/>
      <c r="E919" s="144"/>
      <c r="F919" s="46"/>
      <c r="G919" s="46"/>
      <c r="H919" s="46"/>
      <c r="I919" s="48"/>
      <c r="J919" s="46"/>
      <c r="K919" s="81" t="s">
        <v>115</v>
      </c>
      <c r="L919" s="359">
        <f>DI</f>
        <v>0.26700000000000002</v>
      </c>
      <c r="M919" s="83"/>
      <c r="N919" s="279">
        <f>L919*N918</f>
        <v>47.891790000000007</v>
      </c>
    </row>
    <row r="920" spans="2:15" ht="20.100000000000001" customHeight="1" thickBot="1">
      <c r="D920" s="102"/>
      <c r="E920" s="145"/>
      <c r="F920" s="85"/>
      <c r="G920" s="85"/>
      <c r="H920" s="85"/>
      <c r="I920" s="225"/>
      <c r="J920" s="85"/>
      <c r="K920" s="86" t="s">
        <v>147</v>
      </c>
      <c r="L920" s="280"/>
      <c r="M920" s="89"/>
      <c r="N920" s="281">
        <f>SUM(N918:N919)</f>
        <v>227.26179000000002</v>
      </c>
    </row>
    <row r="921" spans="2:15" ht="3.95" customHeight="1" thickBot="1"/>
    <row r="922" spans="2:15" ht="20.100000000000001" customHeight="1">
      <c r="D922" s="555" t="s">
        <v>131</v>
      </c>
      <c r="E922" s="556"/>
      <c r="F922" s="556"/>
      <c r="G922" s="556"/>
      <c r="H922" s="556"/>
      <c r="I922" s="556"/>
      <c r="J922" s="557"/>
      <c r="K922" s="146" t="s">
        <v>103</v>
      </c>
      <c r="L922" s="19" t="s">
        <v>80</v>
      </c>
      <c r="M922" s="19" t="s">
        <v>104</v>
      </c>
      <c r="N922" s="297" t="s">
        <v>105</v>
      </c>
    </row>
    <row r="923" spans="2:15" ht="20.100000000000001" customHeight="1">
      <c r="B923" s="260" t="s">
        <v>357</v>
      </c>
      <c r="D923" s="264" t="str">
        <f>IF(B923=0,0,VLOOKUP(B923,MAT_BET,3,FALSE))</f>
        <v>AQUISIÇÃO CAP -20</v>
      </c>
      <c r="E923" s="265"/>
      <c r="F923" s="265"/>
      <c r="G923" s="265"/>
      <c r="H923" s="265"/>
      <c r="I923" s="265"/>
      <c r="J923" s="266"/>
      <c r="K923" s="262" t="str">
        <f>IF(B923=0,0,VLOOKUP(B923,MAT_BET,4,FALSE))</f>
        <v>T</v>
      </c>
      <c r="L923" s="411">
        <f>IF(B923=0,0,VLOOKUP(B923,MAT_BET,5,FALSE))</f>
        <v>1132</v>
      </c>
      <c r="M923" s="433">
        <v>2.7799999999999998E-2</v>
      </c>
      <c r="N923" s="273">
        <f>ROUND(L923*M923,2)</f>
        <v>31.47</v>
      </c>
    </row>
    <row r="924" spans="2:15" ht="20.100000000000001" customHeight="1">
      <c r="B924" s="260" t="s">
        <v>359</v>
      </c>
      <c r="D924" s="264" t="str">
        <f>IF(B924=0,0,VLOOKUP(B924,MAT_BET,3,FALSE))</f>
        <v>AQUISIÇÃO CM-30</v>
      </c>
      <c r="E924" s="265"/>
      <c r="F924" s="265"/>
      <c r="G924" s="265"/>
      <c r="H924" s="265"/>
      <c r="I924" s="265"/>
      <c r="J924" s="266"/>
      <c r="K924" s="262" t="str">
        <f>IF(B924=0,0,VLOOKUP(B924,MAT_BET,4,FALSE))</f>
        <v>T</v>
      </c>
      <c r="L924" s="411">
        <f>IF(B924=0,0,VLOOKUP(B924,MAT_BET,5,FALSE))</f>
        <v>1853</v>
      </c>
      <c r="M924" s="434">
        <v>1.1999999999999999E-3</v>
      </c>
      <c r="N924" s="273">
        <f>ROUND(L924*M924,2)</f>
        <v>2.2200000000000002</v>
      </c>
    </row>
    <row r="925" spans="2:15" ht="20.100000000000001" customHeight="1">
      <c r="B925" s="260" t="s">
        <v>361</v>
      </c>
      <c r="D925" s="264" t="str">
        <f>IF(B925=0,0,VLOOKUP(B925,MAT_BET,3,FALSE))</f>
        <v>AQUISIÇÃO EMULSÃO RR-1C</v>
      </c>
      <c r="E925" s="265"/>
      <c r="F925" s="265"/>
      <c r="G925" s="265"/>
      <c r="H925" s="265"/>
      <c r="I925" s="265"/>
      <c r="J925" s="266"/>
      <c r="K925" s="262" t="str">
        <f>IF(B925=0,0,VLOOKUP(B925,MAT_BET,4,FALSE))</f>
        <v>T</v>
      </c>
      <c r="L925" s="411">
        <f>IF(B925=0,0,VLOOKUP(B925,MAT_BET,5,FALSE))</f>
        <v>905</v>
      </c>
      <c r="M925" s="434">
        <v>4.0000000000000002E-4</v>
      </c>
      <c r="N925" s="273">
        <f>ROUND(L925*M925,2)</f>
        <v>0.36</v>
      </c>
      <c r="O925" s="393">
        <f>SUM(N923:N925)</f>
        <v>34.049999999999997</v>
      </c>
    </row>
    <row r="926" spans="2:15" ht="20.100000000000001" customHeight="1">
      <c r="D926" s="114"/>
      <c r="E926" s="59"/>
      <c r="F926" s="59"/>
      <c r="G926" s="59"/>
      <c r="H926" s="59"/>
      <c r="I926" s="91"/>
      <c r="J926" s="115"/>
      <c r="K926" s="81" t="s">
        <v>115</v>
      </c>
      <c r="L926" s="359">
        <f>DI</f>
        <v>0.26700000000000002</v>
      </c>
      <c r="M926" s="83"/>
      <c r="N926" s="279">
        <f>(N923+N925+N924)*L926</f>
        <v>9.0913500000000003</v>
      </c>
    </row>
    <row r="927" spans="2:15" ht="20.100000000000001" customHeight="1">
      <c r="D927" s="76"/>
      <c r="E927" s="77"/>
      <c r="F927" s="77"/>
      <c r="G927" s="77"/>
      <c r="H927" s="77"/>
      <c r="I927" s="156"/>
      <c r="J927" s="116"/>
      <c r="K927" s="81" t="s">
        <v>2</v>
      </c>
      <c r="L927" s="289"/>
      <c r="M927" s="83"/>
      <c r="N927" s="279">
        <f>SUM(N923:N926)</f>
        <v>43.141349999999996</v>
      </c>
    </row>
    <row r="928" spans="2:15" ht="20.100000000000001" customHeight="1">
      <c r="D928" s="117"/>
      <c r="E928" s="118"/>
      <c r="F928" s="118"/>
      <c r="G928" s="118"/>
      <c r="H928" s="118"/>
      <c r="I928" s="94"/>
      <c r="J928" s="119"/>
      <c r="K928" s="113" t="s">
        <v>103</v>
      </c>
      <c r="L928" s="34" t="s">
        <v>80</v>
      </c>
      <c r="M928" s="34" t="s">
        <v>104</v>
      </c>
      <c r="N928" s="288" t="s">
        <v>105</v>
      </c>
    </row>
    <row r="929" spans="2:15" ht="20.100000000000001" customHeight="1">
      <c r="B929" s="260" t="s">
        <v>363</v>
      </c>
      <c r="D929" s="264" t="str">
        <f>IF(B929=0,0,VLOOKUP(B929,MAT_BET,3,FALSE))</f>
        <v>TRANSPORTE CAP - 20</v>
      </c>
      <c r="E929" s="265"/>
      <c r="F929" s="265"/>
      <c r="G929" s="265"/>
      <c r="H929" s="265"/>
      <c r="I929" s="265"/>
      <c r="J929" s="266"/>
      <c r="K929" s="262" t="str">
        <f>IF(B929=0,0,VLOOKUP(B929,MAT_BET,4,FALSE))</f>
        <v>T</v>
      </c>
      <c r="L929" s="411">
        <f>IF(B929=0,0,VLOOKUP(B929,MAT_BET,5,FALSE))</f>
        <v>230.69</v>
      </c>
      <c r="M929" s="433">
        <v>2.7799999999999998E-2</v>
      </c>
      <c r="N929" s="278">
        <f>(L929*M929)</f>
        <v>6.4131819999999999</v>
      </c>
    </row>
    <row r="930" spans="2:15" ht="20.100000000000001" customHeight="1">
      <c r="B930" s="260" t="s">
        <v>364</v>
      </c>
      <c r="D930" s="264" t="str">
        <f>IF(B930=0,0,VLOOKUP(B930,MAT_BET,3,FALSE))</f>
        <v>TRANSPORTE CM-30</v>
      </c>
      <c r="E930" s="265"/>
      <c r="F930" s="265"/>
      <c r="G930" s="265"/>
      <c r="H930" s="265"/>
      <c r="I930" s="265"/>
      <c r="J930" s="266"/>
      <c r="K930" s="262" t="str">
        <f>IF(B930=0,0,VLOOKUP(B930,MAT_BET,4,FALSE))</f>
        <v>T</v>
      </c>
      <c r="L930" s="411">
        <f>IF(B930=0,0,VLOOKUP(B930,MAT_BET,5,FALSE))</f>
        <v>230.69</v>
      </c>
      <c r="M930" s="434">
        <v>1.1999999999999999E-3</v>
      </c>
      <c r="N930" s="278">
        <f>(L930*M930)</f>
        <v>0.27682799999999996</v>
      </c>
    </row>
    <row r="931" spans="2:15" ht="20.100000000000001" customHeight="1">
      <c r="B931" s="260" t="s">
        <v>366</v>
      </c>
      <c r="D931" s="264" t="str">
        <f>IF(B931=0,0,VLOOKUP(B931,MAT_BET,3,FALSE))</f>
        <v>TRANSPORTE EMULSÃO RR-1C</v>
      </c>
      <c r="E931" s="265"/>
      <c r="F931" s="265"/>
      <c r="G931" s="265"/>
      <c r="H931" s="265"/>
      <c r="I931" s="265"/>
      <c r="J931" s="266"/>
      <c r="K931" s="262" t="str">
        <f>IF(B931=0,0,VLOOKUP(B931,MAT_BET,4,FALSE))</f>
        <v>T</v>
      </c>
      <c r="L931" s="411">
        <f>IF(B931=0,0,VLOOKUP(B931,MAT_BET,5,FALSE))</f>
        <v>230.69</v>
      </c>
      <c r="M931" s="434">
        <v>4.0000000000000002E-4</v>
      </c>
      <c r="N931" s="278">
        <f>(L931*M931)</f>
        <v>9.2275999999999997E-2</v>
      </c>
      <c r="O931" s="393">
        <f>SUM(N929:N931)</f>
        <v>6.782286</v>
      </c>
    </row>
    <row r="932" spans="2:15" ht="20.100000000000001" customHeight="1">
      <c r="D932" s="114"/>
      <c r="E932" s="59"/>
      <c r="F932" s="59"/>
      <c r="G932" s="59"/>
      <c r="H932" s="59"/>
      <c r="I932" s="91"/>
      <c r="J932" s="115"/>
      <c r="K932" s="81" t="s">
        <v>115</v>
      </c>
      <c r="L932" s="359">
        <f>DI</f>
        <v>0.26700000000000002</v>
      </c>
      <c r="M932" s="83"/>
      <c r="N932" s="279">
        <f>(N929+N930+N931)*L932</f>
        <v>1.8108703620000002</v>
      </c>
    </row>
    <row r="933" spans="2:15" ht="20.100000000000001" customHeight="1" thickBot="1">
      <c r="D933" s="76"/>
      <c r="E933" s="77"/>
      <c r="F933" s="77"/>
      <c r="G933" s="77"/>
      <c r="H933" s="77"/>
      <c r="I933" s="156"/>
      <c r="J933" s="116"/>
      <c r="K933" s="97" t="s">
        <v>148</v>
      </c>
      <c r="L933" s="290"/>
      <c r="M933" s="120"/>
      <c r="N933" s="291">
        <f>SUM(N929:N932)</f>
        <v>8.5931563620000002</v>
      </c>
    </row>
    <row r="934" spans="2:15" ht="20.100000000000001" customHeight="1" thickBot="1">
      <c r="D934" s="121"/>
      <c r="E934" s="122"/>
      <c r="F934" s="122"/>
      <c r="G934" s="123"/>
      <c r="H934" s="122"/>
      <c r="I934" s="227"/>
      <c r="J934" s="124"/>
      <c r="K934" s="549" t="s">
        <v>134</v>
      </c>
      <c r="L934" s="549"/>
      <c r="M934" s="550"/>
      <c r="N934" s="292">
        <f>N927+N933</f>
        <v>51.734506361999998</v>
      </c>
    </row>
    <row r="935" spans="2:15" ht="3.95" customHeight="1" thickBot="1">
      <c r="D935" s="98"/>
      <c r="E935" s="99"/>
      <c r="F935" s="44"/>
      <c r="G935" s="65"/>
      <c r="H935" s="44"/>
      <c r="I935" s="48"/>
      <c r="J935" s="46"/>
      <c r="K935" s="46"/>
      <c r="L935" s="48"/>
      <c r="M935" s="100"/>
      <c r="N935" s="282"/>
    </row>
    <row r="936" spans="2:15" ht="20.100000000000001" customHeight="1">
      <c r="D936" s="126"/>
      <c r="E936" s="108"/>
      <c r="F936" s="108"/>
      <c r="G936" s="109"/>
      <c r="H936" s="108"/>
      <c r="I936" s="127" t="s">
        <v>114</v>
      </c>
      <c r="J936" s="128"/>
      <c r="K936" s="128"/>
      <c r="L936" s="354">
        <v>0.02</v>
      </c>
      <c r="M936" s="129"/>
      <c r="N936" s="294">
        <f>(N918+O925+O931)*L936</f>
        <v>4.4040457200000001</v>
      </c>
    </row>
    <row r="937" spans="2:15" ht="20.100000000000001" customHeight="1" thickBot="1">
      <c r="D937" s="130"/>
      <c r="E937" s="104"/>
      <c r="F937" s="104"/>
      <c r="G937" s="105"/>
      <c r="H937" s="104"/>
      <c r="I937" s="547" t="s">
        <v>149</v>
      </c>
      <c r="J937" s="548"/>
      <c r="K937" s="548"/>
      <c r="L937" s="548"/>
      <c r="M937" s="131"/>
      <c r="N937" s="295">
        <f>(N918+O925+O931)+N936</f>
        <v>224.60633172000001</v>
      </c>
    </row>
    <row r="938" spans="2:15" ht="3.95" customHeight="1">
      <c r="D938" s="98"/>
      <c r="E938" s="99"/>
      <c r="F938" s="44"/>
      <c r="G938" s="65"/>
      <c r="H938" s="44"/>
      <c r="I938" s="355"/>
      <c r="J938" s="355"/>
      <c r="K938" s="355"/>
      <c r="L938" s="355"/>
      <c r="M938" s="100"/>
      <c r="N938" s="282"/>
    </row>
    <row r="939" spans="2:15" ht="20.100000000000001" customHeight="1" thickBot="1">
      <c r="D939" s="137"/>
      <c r="E939" s="138"/>
      <c r="F939" s="138"/>
      <c r="G939" s="138"/>
      <c r="H939" s="138"/>
      <c r="I939" s="356" t="s">
        <v>150</v>
      </c>
      <c r="J939" s="357"/>
      <c r="K939" s="357"/>
      <c r="L939" s="358">
        <f>DI</f>
        <v>0.26700000000000002</v>
      </c>
      <c r="M939" s="140"/>
      <c r="N939" s="295">
        <f>(L939*N937)+N937</f>
        <v>284.57622228924004</v>
      </c>
    </row>
    <row r="940" spans="2:15" ht="20.100000000000001" customHeight="1">
      <c r="D940" s="134"/>
      <c r="E940" s="134"/>
      <c r="F940" s="134"/>
      <c r="G940" s="134"/>
      <c r="H940" s="134"/>
      <c r="I940" s="366"/>
      <c r="J940" s="148"/>
      <c r="K940" s="148"/>
      <c r="L940" s="209"/>
      <c r="M940" s="136"/>
      <c r="N940" s="367"/>
    </row>
    <row r="941" spans="2:15" ht="20.100000000000001" customHeight="1">
      <c r="D941" s="153"/>
      <c r="E941" s="153"/>
      <c r="F941" s="153"/>
      <c r="G941" s="153"/>
      <c r="H941" s="153"/>
      <c r="I941" s="234"/>
      <c r="J941" s="154"/>
      <c r="K941" s="154"/>
      <c r="L941" s="293"/>
      <c r="M941" s="100"/>
      <c r="N941" s="311"/>
    </row>
    <row r="942" spans="2:15" ht="20.100000000000001" customHeight="1" thickBot="1">
      <c r="D942" s="138"/>
      <c r="E942" s="138"/>
      <c r="F942" s="138"/>
      <c r="G942" s="138"/>
      <c r="H942" s="138"/>
      <c r="I942" s="368"/>
      <c r="J942" s="149"/>
      <c r="K942" s="149"/>
      <c r="L942" s="212"/>
      <c r="M942" s="140"/>
      <c r="N942" s="312"/>
    </row>
    <row r="943" spans="2:15" ht="20.100000000000001" customHeight="1">
      <c r="B943" s="197" t="s">
        <v>200</v>
      </c>
      <c r="D943" s="520" t="s">
        <v>238</v>
      </c>
      <c r="E943" s="521"/>
      <c r="F943" s="524" t="s">
        <v>74</v>
      </c>
      <c r="G943" s="525"/>
      <c r="H943" s="525"/>
      <c r="I943" s="525"/>
      <c r="J943" s="525"/>
      <c r="K943" s="525"/>
      <c r="L943" s="526"/>
      <c r="M943" s="19" t="s">
        <v>75</v>
      </c>
      <c r="N943" s="20" t="s">
        <v>76</v>
      </c>
    </row>
    <row r="944" spans="2:15" ht="20.100000000000001" customHeight="1">
      <c r="D944" s="522"/>
      <c r="E944" s="523"/>
      <c r="F944" s="512" t="str">
        <f>VLOOKUP(B943,Resumo_Composições,3,FALSE)</f>
        <v>REESTABILIZAÇÃO DE BASE COM ADIÇÃO DE MATERIAL</v>
      </c>
      <c r="G944" s="519"/>
      <c r="H944" s="519"/>
      <c r="I944" s="519"/>
      <c r="J944" s="519"/>
      <c r="K944" s="519"/>
      <c r="L944" s="513"/>
      <c r="M944" s="24" t="str">
        <f>VLOOKUP(B943,Resumo_Composições,4,FALSE)</f>
        <v>M3</v>
      </c>
      <c r="N944" s="25">
        <f>DATA</f>
        <v>41214</v>
      </c>
    </row>
    <row r="945" spans="2:14" ht="20.100000000000001" customHeight="1">
      <c r="D945" s="26" t="s">
        <v>77</v>
      </c>
      <c r="E945" s="27"/>
      <c r="F945" s="27"/>
      <c r="G945" s="27"/>
      <c r="H945" s="28"/>
      <c r="I945" s="214" t="s">
        <v>78</v>
      </c>
      <c r="J945" s="509" t="s">
        <v>79</v>
      </c>
      <c r="K945" s="511"/>
      <c r="L945" s="535" t="s">
        <v>80</v>
      </c>
      <c r="M945" s="536"/>
      <c r="N945" s="516" t="s">
        <v>81</v>
      </c>
    </row>
    <row r="946" spans="2:14" ht="20.100000000000001" customHeight="1">
      <c r="D946" s="31"/>
      <c r="E946" s="32"/>
      <c r="F946" s="32"/>
      <c r="G946" s="32"/>
      <c r="H946" s="33"/>
      <c r="I946" s="34"/>
      <c r="J946" s="51" t="s">
        <v>82</v>
      </c>
      <c r="K946" s="51" t="s">
        <v>83</v>
      </c>
      <c r="L946" s="51" t="s">
        <v>82</v>
      </c>
      <c r="M946" s="51" t="s">
        <v>84</v>
      </c>
      <c r="N946" s="517"/>
    </row>
    <row r="947" spans="2:14" ht="20.100000000000001" customHeight="1">
      <c r="B947" s="260" t="s">
        <v>281</v>
      </c>
      <c r="D947" s="35" t="str">
        <f t="shared" ref="D947:D953" si="55">IF(B947=0,0,VLOOKUP(B947,EQUIP,3,FALSE))</f>
        <v>MOTONIVELADORA - 93 KW</v>
      </c>
      <c r="E947" s="36"/>
      <c r="F947" s="36"/>
      <c r="G947" s="36"/>
      <c r="H947" s="37"/>
      <c r="I947" s="215">
        <v>1</v>
      </c>
      <c r="J947" s="38">
        <v>1</v>
      </c>
      <c r="K947" s="38">
        <v>0</v>
      </c>
      <c r="L947" s="215">
        <f t="shared" ref="L947:L953" si="56">IF(B947=0,0,VLOOKUP(B947,EQUIP,6,FALSE))</f>
        <v>153.06</v>
      </c>
      <c r="M947" s="38">
        <f t="shared" ref="M947:M953" si="57">IF(B947=0,0,VLOOKUP(B947,EQUIP,7,FALSE))</f>
        <v>22.39</v>
      </c>
      <c r="N947" s="269">
        <f t="shared" ref="N947:N953" si="58">ROUND(I947*J947*L947+I947*K947*M947,2)</f>
        <v>153.06</v>
      </c>
    </row>
    <row r="948" spans="2:14" ht="20.100000000000001" customHeight="1">
      <c r="B948" s="260" t="s">
        <v>292</v>
      </c>
      <c r="D948" s="35" t="str">
        <f t="shared" si="55"/>
        <v>TRATOR AGRICOLA (77 KW)</v>
      </c>
      <c r="E948" s="36"/>
      <c r="F948" s="36"/>
      <c r="G948" s="36"/>
      <c r="H948" s="37"/>
      <c r="I948" s="55">
        <v>1</v>
      </c>
      <c r="J948" s="39">
        <v>0.59</v>
      </c>
      <c r="K948" s="39">
        <v>0.41</v>
      </c>
      <c r="L948" s="215">
        <f t="shared" si="56"/>
        <v>65.799899999999994</v>
      </c>
      <c r="M948" s="38">
        <f t="shared" si="57"/>
        <v>17.27</v>
      </c>
      <c r="N948" s="269">
        <f t="shared" si="58"/>
        <v>45.9</v>
      </c>
    </row>
    <row r="949" spans="2:14" ht="20.100000000000001" customHeight="1">
      <c r="B949" s="260" t="s">
        <v>287</v>
      </c>
      <c r="D949" s="35" t="str">
        <f t="shared" si="55"/>
        <v>ROLO COMPACTADOR PÉ DE CARNEIRO VIBRATORIO 11,25 t ( 85 KW)</v>
      </c>
      <c r="E949" s="36"/>
      <c r="F949" s="36"/>
      <c r="G949" s="36"/>
      <c r="H949" s="37"/>
      <c r="I949" s="215">
        <v>1</v>
      </c>
      <c r="J949" s="38">
        <v>0.86</v>
      </c>
      <c r="K949" s="38">
        <v>0.14000000000000001</v>
      </c>
      <c r="L949" s="215">
        <f t="shared" si="56"/>
        <v>113.04</v>
      </c>
      <c r="M949" s="38">
        <f t="shared" si="57"/>
        <v>17.27</v>
      </c>
      <c r="N949" s="269">
        <f t="shared" si="58"/>
        <v>99.63</v>
      </c>
    </row>
    <row r="950" spans="2:14" ht="20.100000000000001" customHeight="1">
      <c r="B950" s="260" t="s">
        <v>278</v>
      </c>
      <c r="D950" s="35" t="str">
        <f t="shared" si="55"/>
        <v>GRADE DE DISCO - GA 24 x 24</v>
      </c>
      <c r="E950" s="36"/>
      <c r="F950" s="36"/>
      <c r="G950" s="36"/>
      <c r="H950" s="37"/>
      <c r="I950" s="55">
        <v>1</v>
      </c>
      <c r="J950" s="39">
        <v>0.59</v>
      </c>
      <c r="K950" s="39">
        <v>0.41</v>
      </c>
      <c r="L950" s="215">
        <f t="shared" si="56"/>
        <v>2.58</v>
      </c>
      <c r="M950" s="38">
        <f t="shared" si="57"/>
        <v>0</v>
      </c>
      <c r="N950" s="269">
        <f t="shared" si="58"/>
        <v>1.52</v>
      </c>
    </row>
    <row r="951" spans="2:14" ht="20.100000000000001" customHeight="1">
      <c r="B951" s="260" t="s">
        <v>285</v>
      </c>
      <c r="D951" s="35" t="str">
        <f t="shared" si="55"/>
        <v>ROLO COMPACTADOR DE PNEUS 21 t (97 KW)</v>
      </c>
      <c r="E951" s="36"/>
      <c r="F951" s="36"/>
      <c r="G951" s="36"/>
      <c r="H951" s="37"/>
      <c r="I951" s="55">
        <v>1</v>
      </c>
      <c r="J951" s="39">
        <v>0.67</v>
      </c>
      <c r="K951" s="39">
        <v>0.33</v>
      </c>
      <c r="L951" s="215">
        <f t="shared" si="56"/>
        <v>96.39</v>
      </c>
      <c r="M951" s="38">
        <f t="shared" si="57"/>
        <v>17.27</v>
      </c>
      <c r="N951" s="269">
        <f t="shared" si="58"/>
        <v>70.28</v>
      </c>
    </row>
    <row r="952" spans="2:14" ht="20.100000000000001" customHeight="1">
      <c r="B952" s="260" t="s">
        <v>262</v>
      </c>
      <c r="D952" s="35" t="str">
        <f t="shared" si="55"/>
        <v>CAMINHÃO BASCULANTE 10m3 - 15 T (170 KW)</v>
      </c>
      <c r="E952" s="36"/>
      <c r="F952" s="36"/>
      <c r="G952" s="36"/>
      <c r="H952" s="37"/>
      <c r="I952" s="55">
        <v>1.27</v>
      </c>
      <c r="J952" s="38">
        <v>1</v>
      </c>
      <c r="K952" s="38">
        <v>0</v>
      </c>
      <c r="L952" s="215">
        <f t="shared" si="56"/>
        <v>135.83000000000001</v>
      </c>
      <c r="M952" s="38">
        <f t="shared" si="57"/>
        <v>20.47</v>
      </c>
      <c r="N952" s="269">
        <f t="shared" si="58"/>
        <v>172.5</v>
      </c>
    </row>
    <row r="953" spans="2:14" ht="20.100000000000001" customHeight="1">
      <c r="B953" s="260" t="s">
        <v>265</v>
      </c>
      <c r="D953" s="35" t="str">
        <f t="shared" si="55"/>
        <v>CAMINHÃO TANQUE 10.000 l</v>
      </c>
      <c r="E953" s="36"/>
      <c r="F953" s="36"/>
      <c r="G953" s="36"/>
      <c r="H953" s="37"/>
      <c r="I953" s="55">
        <v>1</v>
      </c>
      <c r="J953" s="38">
        <v>0.92</v>
      </c>
      <c r="K953" s="38">
        <v>0.08</v>
      </c>
      <c r="L953" s="215">
        <f t="shared" si="56"/>
        <v>126.87</v>
      </c>
      <c r="M953" s="38">
        <f t="shared" si="57"/>
        <v>20.47</v>
      </c>
      <c r="N953" s="269">
        <f t="shared" si="58"/>
        <v>118.36</v>
      </c>
    </row>
    <row r="954" spans="2:14" ht="20.100000000000001" customHeight="1">
      <c r="D954" s="155"/>
      <c r="E954" s="156"/>
      <c r="F954" s="156"/>
      <c r="G954" s="156"/>
      <c r="H954" s="156"/>
      <c r="I954" s="235"/>
      <c r="J954" s="157"/>
      <c r="K954" s="157"/>
      <c r="L954" s="216"/>
      <c r="M954" s="42" t="s">
        <v>89</v>
      </c>
      <c r="N954" s="270">
        <f>SUM(N947:N953)</f>
        <v>661.25</v>
      </c>
    </row>
    <row r="955" spans="2:14" ht="3.95" customHeight="1">
      <c r="D955" s="158"/>
      <c r="E955" s="159"/>
      <c r="F955" s="159"/>
      <c r="G955" s="160"/>
      <c r="H955" s="159"/>
      <c r="I955" s="236"/>
      <c r="J955" s="161"/>
      <c r="K955" s="162"/>
      <c r="L955" s="163"/>
      <c r="M955" s="163"/>
      <c r="N955" s="300"/>
    </row>
    <row r="956" spans="2:14" ht="20.100000000000001" customHeight="1">
      <c r="D956" s="518" t="s">
        <v>90</v>
      </c>
      <c r="E956" s="519"/>
      <c r="F956" s="519"/>
      <c r="G956" s="519"/>
      <c r="H956" s="519"/>
      <c r="I956" s="519"/>
      <c r="J956" s="513"/>
      <c r="K956" s="50" t="s">
        <v>91</v>
      </c>
      <c r="L956" s="51" t="s">
        <v>92</v>
      </c>
      <c r="M956" s="51" t="s">
        <v>93</v>
      </c>
      <c r="N956" s="272" t="s">
        <v>94</v>
      </c>
    </row>
    <row r="957" spans="2:14" ht="20.100000000000001" customHeight="1">
      <c r="B957" s="260" t="s">
        <v>250</v>
      </c>
      <c r="D957" s="52" t="str">
        <f>IF(B957=0,0,VLOOKUP(B957,MO,2,FALSE))</f>
        <v>ENCARREGADO DE PAVIMENTAÇÃO</v>
      </c>
      <c r="E957" s="53"/>
      <c r="F957" s="53"/>
      <c r="G957" s="53"/>
      <c r="H957" s="53"/>
      <c r="I957" s="36"/>
      <c r="J957" s="54"/>
      <c r="K957" s="152"/>
      <c r="L957" s="164">
        <v>1</v>
      </c>
      <c r="M957" s="55">
        <f>IF(B957=0,0,VLOOKUP(B957,MO,6,FALSE))</f>
        <v>44.786799999999999</v>
      </c>
      <c r="N957" s="301">
        <f>ROUND(L957*M957,2)</f>
        <v>44.79</v>
      </c>
    </row>
    <row r="958" spans="2:14" ht="20.100000000000001" customHeight="1">
      <c r="B958" s="260" t="s">
        <v>248</v>
      </c>
      <c r="D958" s="52" t="str">
        <f>IF(B958=0,0,VLOOKUP(B958,MO,2,FALSE))</f>
        <v>SERVENTE</v>
      </c>
      <c r="E958" s="53"/>
      <c r="F958" s="53"/>
      <c r="G958" s="53"/>
      <c r="H958" s="53"/>
      <c r="I958" s="36"/>
      <c r="J958" s="54"/>
      <c r="K958" s="152"/>
      <c r="L958" s="164">
        <v>3</v>
      </c>
      <c r="M958" s="55">
        <f>IF(B958=0,0,VLOOKUP(B958,MO,6,FALSE))</f>
        <v>7.9973000000000001</v>
      </c>
      <c r="N958" s="301">
        <f>ROUND(L958*M958,2)</f>
        <v>23.99</v>
      </c>
    </row>
    <row r="959" spans="2:14" ht="20.100000000000001" customHeight="1">
      <c r="B959" s="260"/>
      <c r="D959" s="52" t="s">
        <v>122</v>
      </c>
      <c r="E959" s="53"/>
      <c r="F959" s="53"/>
      <c r="G959" s="53"/>
      <c r="H959" s="53"/>
      <c r="I959" s="36"/>
      <c r="J959" s="54"/>
      <c r="K959" s="165">
        <v>0</v>
      </c>
      <c r="L959" s="166">
        <f>N957+N958</f>
        <v>68.78</v>
      </c>
      <c r="M959" s="164"/>
      <c r="N959" s="316">
        <f>ROUND(L959*K959,2)</f>
        <v>0</v>
      </c>
    </row>
    <row r="960" spans="2:14" ht="20.100000000000001" customHeight="1">
      <c r="D960" s="167"/>
      <c r="E960" s="59"/>
      <c r="F960" s="168"/>
      <c r="G960" s="168"/>
      <c r="H960" s="159"/>
      <c r="I960" s="236"/>
      <c r="J960" s="169"/>
      <c r="K960" s="162"/>
      <c r="L960" s="163"/>
      <c r="M960" s="62" t="s">
        <v>98</v>
      </c>
      <c r="N960" s="302">
        <f>SUM(N957:N959)</f>
        <v>68.78</v>
      </c>
    </row>
    <row r="961" spans="2:14" ht="3.95" customHeight="1">
      <c r="D961" s="158"/>
      <c r="E961" s="159"/>
      <c r="F961" s="159"/>
      <c r="G961" s="159"/>
      <c r="H961" s="159"/>
      <c r="I961" s="236"/>
      <c r="J961" s="169"/>
      <c r="K961" s="162"/>
      <c r="L961" s="163"/>
      <c r="M961" s="163"/>
      <c r="N961" s="300"/>
    </row>
    <row r="962" spans="2:14" ht="20.100000000000001" customHeight="1">
      <c r="D962" s="170"/>
      <c r="E962" s="168"/>
      <c r="F962" s="168"/>
      <c r="G962" s="168"/>
      <c r="H962" s="171"/>
      <c r="I962" s="237"/>
      <c r="J962" s="171"/>
      <c r="K962" s="509" t="s">
        <v>99</v>
      </c>
      <c r="L962" s="510"/>
      <c r="M962" s="511"/>
      <c r="N962" s="303">
        <f>+N954+N960</f>
        <v>730.03</v>
      </c>
    </row>
    <row r="963" spans="2:14" ht="3.95" customHeight="1">
      <c r="D963" s="172"/>
      <c r="E963" s="159"/>
      <c r="F963" s="159"/>
      <c r="G963" s="160"/>
      <c r="H963" s="159"/>
      <c r="I963" s="236"/>
      <c r="J963" s="161"/>
      <c r="K963" s="162"/>
      <c r="L963" s="163"/>
      <c r="M963" s="163"/>
      <c r="N963" s="300"/>
    </row>
    <row r="964" spans="2:14" ht="20.100000000000001" customHeight="1">
      <c r="D964" s="167"/>
      <c r="E964" s="509" t="s">
        <v>100</v>
      </c>
      <c r="F964" s="510"/>
      <c r="G964" s="510"/>
      <c r="H964" s="511"/>
      <c r="I964" s="238">
        <v>175</v>
      </c>
      <c r="J964" s="163"/>
      <c r="K964" s="506" t="s">
        <v>101</v>
      </c>
      <c r="L964" s="507"/>
      <c r="M964" s="507"/>
      <c r="N964" s="382">
        <f>ROUND(N962/I964,2)</f>
        <v>4.17</v>
      </c>
    </row>
    <row r="965" spans="2:14" ht="3.95" customHeight="1">
      <c r="D965" s="158"/>
      <c r="E965" s="159"/>
      <c r="F965" s="159"/>
      <c r="G965" s="173"/>
      <c r="H965" s="159"/>
      <c r="I965" s="163"/>
      <c r="J965" s="161"/>
      <c r="K965" s="161"/>
      <c r="L965" s="163"/>
      <c r="M965" s="161"/>
      <c r="N965" s="305"/>
    </row>
    <row r="966" spans="2:14" ht="20.100000000000001" customHeight="1">
      <c r="D966" s="49" t="s">
        <v>102</v>
      </c>
      <c r="E966" s="22"/>
      <c r="F966" s="22"/>
      <c r="G966" s="22"/>
      <c r="H966" s="22"/>
      <c r="I966" s="141"/>
      <c r="J966" s="23"/>
      <c r="K966" s="50" t="s">
        <v>103</v>
      </c>
      <c r="L966" s="51" t="s">
        <v>80</v>
      </c>
      <c r="M966" s="51" t="s">
        <v>104</v>
      </c>
      <c r="N966" s="272" t="s">
        <v>105</v>
      </c>
    </row>
    <row r="967" spans="2:14" ht="20.100000000000001" customHeight="1">
      <c r="B967" s="260" t="s">
        <v>308</v>
      </c>
      <c r="D967" s="52" t="str">
        <f>IF(B967=0,0,VLOOKUP(B967,MAT,3,FALSE))</f>
        <v>ESCAVAÇÃO E CARGA DE MATERIAL DE JAZIDA (CONSV)</v>
      </c>
      <c r="E967" s="53"/>
      <c r="F967" s="53"/>
      <c r="G967" s="53"/>
      <c r="H967" s="53"/>
      <c r="I967" s="36"/>
      <c r="J967" s="54"/>
      <c r="K967" s="66" t="str">
        <f>IF(B967=0,0,VLOOKUP(B967,MAT,5,FALSE))</f>
        <v>M3</v>
      </c>
      <c r="L967" s="67">
        <f>IF(B967=0,0,VLOOKUP(B967,MAT,6,FALSE))</f>
        <v>7.82</v>
      </c>
      <c r="M967" s="433">
        <v>1.1499999999999999</v>
      </c>
      <c r="N967" s="301">
        <f>ROUND(L967*M967,2)</f>
        <v>8.99</v>
      </c>
    </row>
    <row r="968" spans="2:14" ht="20.100000000000001" customHeight="1">
      <c r="B968" s="260"/>
      <c r="D968" s="383">
        <f>IF(B968=0,0,VLOOKUP(B968,MAT,3,FALSE))</f>
        <v>0</v>
      </c>
      <c r="E968" s="384"/>
      <c r="F968" s="384"/>
      <c r="G968" s="384"/>
      <c r="H968" s="384"/>
      <c r="I968" s="384"/>
      <c r="J968" s="385"/>
      <c r="K968" s="386">
        <f>IF(B968=0,0,VLOOKUP(B968,MAT,5,FALSE))</f>
        <v>0</v>
      </c>
      <c r="L968" s="387">
        <f>IF(B968=0,0,VLOOKUP(B968,MAT,6,FALSE))</f>
        <v>0</v>
      </c>
      <c r="M968" s="396"/>
      <c r="N968" s="397">
        <f>ROUND(L968*M968,2)</f>
        <v>0</v>
      </c>
    </row>
    <row r="969" spans="2:14" ht="20.100000000000001" customHeight="1">
      <c r="B969" s="260"/>
      <c r="D969" s="383">
        <f>IF(B969=0,0,VLOOKUP(B969,MAT,3,FALSE))</f>
        <v>0</v>
      </c>
      <c r="E969" s="384"/>
      <c r="F969" s="384"/>
      <c r="G969" s="384"/>
      <c r="H969" s="384"/>
      <c r="I969" s="384"/>
      <c r="J969" s="385"/>
      <c r="K969" s="386">
        <f>IF(B969=0,0,VLOOKUP(B969,MAT,5,FALSE))</f>
        <v>0</v>
      </c>
      <c r="L969" s="387">
        <f>IF(B969=0,0,VLOOKUP(B969,MAT,6,FALSE))</f>
        <v>0</v>
      </c>
      <c r="M969" s="396"/>
      <c r="N969" s="397">
        <f>ROUND(L969*M969,2)</f>
        <v>0</v>
      </c>
    </row>
    <row r="970" spans="2:14" ht="20.100000000000001" customHeight="1">
      <c r="D970" s="158"/>
      <c r="E970" s="159"/>
      <c r="F970" s="159"/>
      <c r="G970" s="173"/>
      <c r="H970" s="159"/>
      <c r="I970" s="163"/>
      <c r="J970" s="161"/>
      <c r="K970" s="161"/>
      <c r="L970" s="163"/>
      <c r="M970" s="71" t="s">
        <v>106</v>
      </c>
      <c r="N970" s="302">
        <f>SUM(N967:N969)</f>
        <v>8.99</v>
      </c>
    </row>
    <row r="971" spans="2:14" ht="20.100000000000001" customHeight="1">
      <c r="D971" s="158"/>
      <c r="E971" s="159"/>
      <c r="F971" s="159"/>
      <c r="G971" s="173"/>
      <c r="H971" s="159"/>
      <c r="I971" s="163"/>
      <c r="J971" s="161"/>
      <c r="K971" s="161"/>
      <c r="L971" s="163"/>
      <c r="M971" s="161"/>
      <c r="N971" s="305"/>
    </row>
    <row r="972" spans="2:14" ht="20.100000000000001" customHeight="1">
      <c r="D972" s="527" t="s">
        <v>107</v>
      </c>
      <c r="E972" s="72" t="s">
        <v>2</v>
      </c>
      <c r="F972" s="73"/>
      <c r="G972" s="73"/>
      <c r="H972" s="74"/>
      <c r="I972" s="498" t="s">
        <v>108</v>
      </c>
      <c r="J972" s="499"/>
      <c r="K972" s="531" t="s">
        <v>103</v>
      </c>
      <c r="L972" s="514" t="s">
        <v>80</v>
      </c>
      <c r="M972" s="531" t="s">
        <v>109</v>
      </c>
      <c r="N972" s="529" t="s">
        <v>105</v>
      </c>
    </row>
    <row r="973" spans="2:14" ht="20.100000000000001" customHeight="1">
      <c r="D973" s="528"/>
      <c r="E973" s="512" t="s">
        <v>110</v>
      </c>
      <c r="F973" s="513"/>
      <c r="G973" s="512" t="s">
        <v>111</v>
      </c>
      <c r="H973" s="513"/>
      <c r="I973" s="500"/>
      <c r="J973" s="501"/>
      <c r="K973" s="532"/>
      <c r="L973" s="515"/>
      <c r="M973" s="532"/>
      <c r="N973" s="530"/>
    </row>
    <row r="974" spans="2:14" ht="20.100000000000001" customHeight="1">
      <c r="B974" s="260" t="s">
        <v>336</v>
      </c>
      <c r="D974" s="261" t="str">
        <f>IF(B974=0,0,VLOOKUP(B974,TRANS,3,FALSE))</f>
        <v>MATERIAL DE JAZIDA</v>
      </c>
      <c r="E974" s="504">
        <f>IF(B974=0,0,VLOOKUP(B974,TRANS,5,FALSE))</f>
        <v>0.33</v>
      </c>
      <c r="F974" s="505"/>
      <c r="G974" s="502"/>
      <c r="H974" s="503"/>
      <c r="I974" s="504">
        <f>IF(B974=0,0,VLOOKUP(B974,TRANS,6,FALSE))</f>
        <v>15</v>
      </c>
      <c r="J974" s="505"/>
      <c r="K974" s="262" t="str">
        <f>IF(B974=0,0,VLOOKUP(B974,TRANS,4,FALSE))</f>
        <v>T.KM</v>
      </c>
      <c r="L974" s="55">
        <f>E974*I974</f>
        <v>4.95</v>
      </c>
      <c r="M974" s="432">
        <v>1.93</v>
      </c>
      <c r="N974" s="278">
        <f>ROUND(L974*M974,2)</f>
        <v>9.5500000000000007</v>
      </c>
    </row>
    <row r="975" spans="2:14" ht="20.100000000000001" customHeight="1">
      <c r="B975" s="260"/>
      <c r="D975" s="261"/>
      <c r="E975" s="504"/>
      <c r="F975" s="505"/>
      <c r="G975" s="502"/>
      <c r="H975" s="503"/>
      <c r="I975" s="533"/>
      <c r="J975" s="534"/>
      <c r="K975" s="66"/>
      <c r="L975" s="67"/>
      <c r="M975" s="70"/>
      <c r="N975" s="278"/>
    </row>
    <row r="976" spans="2:14" ht="20.100000000000001" customHeight="1">
      <c r="D976" s="175"/>
      <c r="E976" s="176"/>
      <c r="F976" s="159"/>
      <c r="G976" s="173"/>
      <c r="H976" s="159"/>
      <c r="I976" s="163"/>
      <c r="J976" s="161"/>
      <c r="K976" s="161"/>
      <c r="L976" s="163"/>
      <c r="M976" s="71" t="s">
        <v>112</v>
      </c>
      <c r="N976" s="302">
        <f>SUM(N974:N975)</f>
        <v>9.5500000000000007</v>
      </c>
    </row>
    <row r="977" spans="2:14" ht="3.95" customHeight="1" thickBot="1">
      <c r="D977" s="175"/>
      <c r="E977" s="159"/>
      <c r="F977" s="173"/>
      <c r="G977" s="159"/>
      <c r="H977" s="161"/>
      <c r="I977" s="163"/>
      <c r="J977" s="161"/>
      <c r="K977" s="161"/>
      <c r="L977" s="163"/>
      <c r="M977" s="161"/>
      <c r="N977" s="305"/>
    </row>
    <row r="978" spans="2:14" ht="20.100000000000001" customHeight="1">
      <c r="D978" s="177"/>
      <c r="E978" s="178"/>
      <c r="F978" s="178"/>
      <c r="G978" s="178"/>
      <c r="H978" s="179"/>
      <c r="I978" s="239"/>
      <c r="J978" s="127" t="s">
        <v>114</v>
      </c>
      <c r="K978" s="128"/>
      <c r="L978" s="306"/>
      <c r="M978" s="129">
        <v>0.02</v>
      </c>
      <c r="N978" s="307">
        <f>(+N964+N970+N976)*M978</f>
        <v>0.45420000000000005</v>
      </c>
    </row>
    <row r="979" spans="2:14" ht="20.100000000000001" customHeight="1" thickBot="1">
      <c r="D979" s="180"/>
      <c r="E979" s="181"/>
      <c r="F979" s="181"/>
      <c r="G979" s="181"/>
      <c r="H979" s="181"/>
      <c r="I979" s="240"/>
      <c r="J979" s="537" t="s">
        <v>149</v>
      </c>
      <c r="K979" s="538"/>
      <c r="L979" s="538"/>
      <c r="M979" s="538"/>
      <c r="N979" s="308">
        <f>+$N964+$N970+$N976+N978</f>
        <v>23.164200000000001</v>
      </c>
    </row>
    <row r="980" spans="2:14" ht="20.100000000000001" customHeight="1" thickBot="1">
      <c r="D980" s="182"/>
      <c r="E980" s="183"/>
      <c r="F980" s="183"/>
      <c r="G980" s="183"/>
      <c r="H980" s="183"/>
      <c r="I980" s="241"/>
      <c r="J980" s="184" t="s">
        <v>158</v>
      </c>
      <c r="K980" s="185"/>
      <c r="L980" s="309"/>
      <c r="M980" s="186">
        <f>DI</f>
        <v>0.26700000000000002</v>
      </c>
      <c r="N980" s="310">
        <f>(M980*N979)+N979</f>
        <v>29.349041400000001</v>
      </c>
    </row>
    <row r="981" spans="2:14" ht="20.100000000000001" customHeight="1">
      <c r="D981" s="134"/>
      <c r="E981" s="134"/>
      <c r="F981" s="134"/>
      <c r="G981" s="134"/>
      <c r="H981" s="134"/>
      <c r="I981" s="366"/>
      <c r="J981" s="148"/>
      <c r="K981" s="148"/>
      <c r="L981" s="209"/>
      <c r="M981" s="136"/>
      <c r="N981" s="367"/>
    </row>
    <row r="982" spans="2:14" ht="20.100000000000001" customHeight="1">
      <c r="D982" s="153"/>
      <c r="E982" s="153"/>
      <c r="F982" s="153"/>
      <c r="G982" s="153"/>
      <c r="H982" s="153"/>
      <c r="I982" s="234"/>
      <c r="J982" s="154"/>
      <c r="K982" s="154"/>
      <c r="L982" s="293"/>
      <c r="M982" s="100"/>
      <c r="N982" s="311"/>
    </row>
    <row r="983" spans="2:14" ht="20.100000000000001" customHeight="1" thickBot="1">
      <c r="D983" s="138"/>
      <c r="E983" s="138"/>
      <c r="F983" s="138"/>
      <c r="G983" s="138"/>
      <c r="H983" s="138"/>
      <c r="I983" s="368"/>
      <c r="J983" s="149"/>
      <c r="K983" s="149"/>
      <c r="L983" s="212"/>
      <c r="M983" s="140"/>
      <c r="N983" s="312"/>
    </row>
    <row r="984" spans="2:14" ht="20.100000000000001" customHeight="1">
      <c r="B984" s="197" t="s">
        <v>201</v>
      </c>
      <c r="D984" s="520"/>
      <c r="E984" s="521"/>
      <c r="F984" s="524" t="s">
        <v>74</v>
      </c>
      <c r="G984" s="525"/>
      <c r="H984" s="525"/>
      <c r="I984" s="525"/>
      <c r="J984" s="525"/>
      <c r="K984" s="525"/>
      <c r="L984" s="526"/>
      <c r="M984" s="19" t="s">
        <v>75</v>
      </c>
      <c r="N984" s="20" t="s">
        <v>76</v>
      </c>
    </row>
    <row r="985" spans="2:14" ht="34.5" customHeight="1">
      <c r="D985" s="522"/>
      <c r="E985" s="523"/>
      <c r="F985" s="574" t="str">
        <f>VLOOKUP(B984,Resumo_Composições,3,FALSE)</f>
        <v>RECOMPOSIÇÃO DO PAVIMENTO COM REPAROS LOCALIZADOS SUPERFICIAIS - PISTAS</v>
      </c>
      <c r="G985" s="575"/>
      <c r="H985" s="575"/>
      <c r="I985" s="575"/>
      <c r="J985" s="575"/>
      <c r="K985" s="575"/>
      <c r="L985" s="576"/>
      <c r="M985" s="24" t="str">
        <f>VLOOKUP(B984,Resumo_Composições,4,FALSE)</f>
        <v>M2</v>
      </c>
      <c r="N985" s="25">
        <f>DATA</f>
        <v>41214</v>
      </c>
    </row>
    <row r="986" spans="2:14" ht="20.100000000000001" customHeight="1">
      <c r="D986" s="26" t="s">
        <v>77</v>
      </c>
      <c r="E986" s="27"/>
      <c r="F986" s="27"/>
      <c r="G986" s="27"/>
      <c r="H986" s="28"/>
      <c r="I986" s="214" t="s">
        <v>78</v>
      </c>
      <c r="J986" s="509" t="s">
        <v>79</v>
      </c>
      <c r="K986" s="511"/>
      <c r="L986" s="535" t="s">
        <v>80</v>
      </c>
      <c r="M986" s="536"/>
      <c r="N986" s="516" t="s">
        <v>81</v>
      </c>
    </row>
    <row r="987" spans="2:14" ht="20.100000000000001" customHeight="1">
      <c r="D987" s="31"/>
      <c r="E987" s="32"/>
      <c r="F987" s="32"/>
      <c r="G987" s="32"/>
      <c r="H987" s="33"/>
      <c r="I987" s="34"/>
      <c r="J987" s="51" t="s">
        <v>82</v>
      </c>
      <c r="K987" s="51" t="s">
        <v>83</v>
      </c>
      <c r="L987" s="51" t="s">
        <v>82</v>
      </c>
      <c r="M987" s="51" t="s">
        <v>84</v>
      </c>
      <c r="N987" s="517"/>
    </row>
    <row r="988" spans="2:14" ht="20.100000000000001" customHeight="1">
      <c r="B988" s="260" t="s">
        <v>272</v>
      </c>
      <c r="D988" s="35" t="str">
        <f>IF(B988=0,0,VLOOKUP(B988,EQUIP,3,FALSE))</f>
        <v>COMPRESSOR DE AR (59KW)</v>
      </c>
      <c r="E988" s="36"/>
      <c r="F988" s="36"/>
      <c r="G988" s="36"/>
      <c r="H988" s="37"/>
      <c r="I988" s="215">
        <v>1</v>
      </c>
      <c r="J988" s="38">
        <v>0.3</v>
      </c>
      <c r="K988" s="38">
        <f>1-J988</f>
        <v>0.7</v>
      </c>
      <c r="L988" s="215">
        <f>IF(B988=0,0,VLOOKUP(B988,EQUIP,6,FALSE))</f>
        <v>50.66</v>
      </c>
      <c r="M988" s="38">
        <f>IF(B988=0,0,VLOOKUP(B988,EQUIP,7,FALSE))</f>
        <v>17.27</v>
      </c>
      <c r="N988" s="269">
        <f>ROUND(I988*J988*L988+I988*K988*M988,2)</f>
        <v>27.29</v>
      </c>
    </row>
    <row r="989" spans="2:14" ht="20.100000000000001" customHeight="1">
      <c r="B989" s="260" t="s">
        <v>271</v>
      </c>
      <c r="D989" s="35" t="str">
        <f>IF(B989=0,0,VLOOKUP(B989,EQUIP,3,FALSE))</f>
        <v>COMPACTADOR MANUAL - soquete vibratório</v>
      </c>
      <c r="E989" s="36"/>
      <c r="F989" s="36"/>
      <c r="G989" s="36"/>
      <c r="H989" s="37"/>
      <c r="I989" s="215">
        <v>1</v>
      </c>
      <c r="J989" s="38">
        <v>0.6</v>
      </c>
      <c r="K989" s="38">
        <f>1-J989</f>
        <v>0.4</v>
      </c>
      <c r="L989" s="215">
        <f>IF(B989=0,0,VLOOKUP(B989,EQUIP,6,FALSE))</f>
        <v>17.47</v>
      </c>
      <c r="M989" s="38">
        <f>IF(B989=0,0,VLOOKUP(B989,EQUIP,7,FALSE))</f>
        <v>15.355</v>
      </c>
      <c r="N989" s="269">
        <f>ROUND(I989*J989*L989+I989*K989*M989,2)</f>
        <v>16.62</v>
      </c>
    </row>
    <row r="990" spans="2:14" ht="20.100000000000001" customHeight="1">
      <c r="B990" s="260" t="s">
        <v>270</v>
      </c>
      <c r="D990" s="35" t="str">
        <f>IF(B990=0,0,VLOOKUP(B990,EQUIP,3,FALSE))</f>
        <v>COMPACTADOR MANUAL - placa vibratória (3kW)</v>
      </c>
      <c r="E990" s="36"/>
      <c r="F990" s="36"/>
      <c r="G990" s="36"/>
      <c r="H990" s="37"/>
      <c r="I990" s="215">
        <v>1</v>
      </c>
      <c r="J990" s="38">
        <v>0.1</v>
      </c>
      <c r="K990" s="38">
        <f>1-J990</f>
        <v>0.9</v>
      </c>
      <c r="L990" s="215">
        <f>IF(B990=0,0,VLOOKUP(B990,EQUIP,6,FALSE))</f>
        <v>17.11</v>
      </c>
      <c r="M990" s="38">
        <f>IF(B990=0,0,VLOOKUP(B990,EQUIP,7,FALSE))</f>
        <v>15.33</v>
      </c>
      <c r="N990" s="269">
        <f>ROUND(I990*J990*L990+I990*K990*M990,2)</f>
        <v>15.51</v>
      </c>
    </row>
    <row r="991" spans="2:14" ht="20.100000000000001" customHeight="1">
      <c r="B991" s="260"/>
      <c r="D991" s="35"/>
      <c r="E991" s="36"/>
      <c r="F991" s="36"/>
      <c r="G991" s="36"/>
      <c r="H991" s="37"/>
      <c r="I991" s="55"/>
      <c r="J991" s="142"/>
      <c r="K991" s="39"/>
      <c r="L991" s="57"/>
      <c r="M991" s="39"/>
      <c r="N991" s="269"/>
    </row>
    <row r="992" spans="2:14" ht="20.100000000000001" customHeight="1">
      <c r="B992" s="260"/>
      <c r="D992" s="35"/>
      <c r="E992" s="36"/>
      <c r="F992" s="36"/>
      <c r="G992" s="36"/>
      <c r="H992" s="37"/>
      <c r="I992" s="55"/>
      <c r="J992" s="142"/>
      <c r="K992" s="39"/>
      <c r="L992" s="57"/>
      <c r="M992" s="39"/>
      <c r="N992" s="269"/>
    </row>
    <row r="993" spans="2:14" ht="20.100000000000001" customHeight="1">
      <c r="D993" s="40"/>
      <c r="E993" s="41"/>
      <c r="F993" s="41"/>
      <c r="G993" s="41"/>
      <c r="H993" s="41"/>
      <c r="I993" s="216"/>
      <c r="J993" s="41"/>
      <c r="K993" s="41"/>
      <c r="L993" s="216"/>
      <c r="M993" s="42" t="s">
        <v>89</v>
      </c>
      <c r="N993" s="270">
        <f>SUM(N988:N992)</f>
        <v>59.419999999999995</v>
      </c>
    </row>
    <row r="994" spans="2:14" ht="3.95" customHeight="1">
      <c r="D994" s="43"/>
      <c r="E994" s="44"/>
      <c r="F994" s="44"/>
      <c r="G994" s="45"/>
      <c r="H994" s="44"/>
      <c r="I994" s="217"/>
      <c r="J994" s="46"/>
      <c r="K994" s="47"/>
      <c r="L994" s="48"/>
      <c r="M994" s="48"/>
      <c r="N994" s="271"/>
    </row>
    <row r="995" spans="2:14" ht="20.100000000000001" customHeight="1">
      <c r="D995" s="584" t="s">
        <v>90</v>
      </c>
      <c r="E995" s="585"/>
      <c r="F995" s="22"/>
      <c r="G995" s="22"/>
      <c r="H995" s="22"/>
      <c r="I995" s="141"/>
      <c r="J995" s="23"/>
      <c r="K995" s="50" t="s">
        <v>91</v>
      </c>
      <c r="L995" s="51" t="s">
        <v>92</v>
      </c>
      <c r="M995" s="51" t="s">
        <v>93</v>
      </c>
      <c r="N995" s="272" t="s">
        <v>94</v>
      </c>
    </row>
    <row r="996" spans="2:14" ht="20.100000000000001" customHeight="1">
      <c r="B996" s="260" t="s">
        <v>247</v>
      </c>
      <c r="D996" s="52" t="str">
        <f>IF(B996=0,0,VLOOKUP(B996,MO,2,FALSE))</f>
        <v>ENCARREGADO DE TURMA</v>
      </c>
      <c r="E996" s="53"/>
      <c r="F996" s="53"/>
      <c r="G996" s="53"/>
      <c r="H996" s="53"/>
      <c r="I996" s="36"/>
      <c r="J996" s="54"/>
      <c r="K996" s="39"/>
      <c r="L996" s="55">
        <v>1</v>
      </c>
      <c r="M996" s="55">
        <f>IF(B996=0,0,VLOOKUP(B996,MO,6,FALSE))</f>
        <v>27</v>
      </c>
      <c r="N996" s="273">
        <f>ROUND(L996*M996,2)</f>
        <v>27</v>
      </c>
    </row>
    <row r="997" spans="2:14" ht="20.100000000000001" customHeight="1">
      <c r="B997" s="260" t="s">
        <v>248</v>
      </c>
      <c r="D997" s="52" t="str">
        <f>IF(B997=0,0,VLOOKUP(B997,MO,2,FALSE))</f>
        <v>SERVENTE</v>
      </c>
      <c r="E997" s="53"/>
      <c r="F997" s="53"/>
      <c r="G997" s="53"/>
      <c r="H997" s="53"/>
      <c r="I997" s="36"/>
      <c r="J997" s="54"/>
      <c r="K997" s="39"/>
      <c r="L997" s="55">
        <v>6</v>
      </c>
      <c r="M997" s="55">
        <f>IF(B997=0,0,VLOOKUP(B997,MO,6,FALSE))</f>
        <v>7.9973000000000001</v>
      </c>
      <c r="N997" s="273">
        <f>ROUND(L997*M997,2)</f>
        <v>47.98</v>
      </c>
    </row>
    <row r="998" spans="2:14" ht="20.100000000000001" customHeight="1">
      <c r="B998" s="260"/>
      <c r="D998" s="52" t="s">
        <v>97</v>
      </c>
      <c r="E998" s="53"/>
      <c r="F998" s="53"/>
      <c r="G998" s="53"/>
      <c r="H998" s="53"/>
      <c r="I998" s="36"/>
      <c r="J998" s="54"/>
      <c r="K998" s="56">
        <v>0.05</v>
      </c>
      <c r="L998" s="57">
        <f>+N996+N997</f>
        <v>74.97999999999999</v>
      </c>
      <c r="M998" s="55"/>
      <c r="N998" s="274">
        <f>ROUND(K998*L998,2)</f>
        <v>3.75</v>
      </c>
    </row>
    <row r="999" spans="2:14" ht="20.100000000000001" customHeight="1">
      <c r="D999" s="58"/>
      <c r="E999" s="59"/>
      <c r="F999" s="60"/>
      <c r="G999" s="60"/>
      <c r="H999" s="44"/>
      <c r="I999" s="217"/>
      <c r="J999" s="61"/>
      <c r="K999" s="47"/>
      <c r="L999" s="48"/>
      <c r="M999" s="62" t="s">
        <v>98</v>
      </c>
      <c r="N999" s="270">
        <f>SUM(N996:N998)</f>
        <v>78.72999999999999</v>
      </c>
    </row>
    <row r="1000" spans="2:14" ht="3.95" customHeight="1">
      <c r="D1000" s="43"/>
      <c r="E1000" s="44"/>
      <c r="F1000" s="44"/>
      <c r="G1000" s="44"/>
      <c r="H1000" s="44"/>
      <c r="I1000" s="217"/>
      <c r="J1000" s="61"/>
      <c r="K1000" s="47"/>
      <c r="L1000" s="48"/>
      <c r="M1000" s="48"/>
      <c r="N1000" s="271"/>
    </row>
    <row r="1001" spans="2:14" ht="20.100000000000001" customHeight="1">
      <c r="D1001" s="40"/>
      <c r="E1001" s="60"/>
      <c r="F1001" s="60"/>
      <c r="G1001" s="60"/>
      <c r="H1001" s="63"/>
      <c r="I1001" s="218"/>
      <c r="J1001" s="63"/>
      <c r="K1001" s="509" t="s">
        <v>99</v>
      </c>
      <c r="L1001" s="510"/>
      <c r="M1001" s="511"/>
      <c r="N1001" s="275">
        <f>+N993+N999</f>
        <v>138.14999999999998</v>
      </c>
    </row>
    <row r="1002" spans="2:14" ht="3.95" customHeight="1">
      <c r="D1002" s="64"/>
      <c r="E1002" s="44"/>
      <c r="F1002" s="44"/>
      <c r="G1002" s="45"/>
      <c r="H1002" s="44"/>
      <c r="I1002" s="217"/>
      <c r="J1002" s="46"/>
      <c r="K1002" s="47"/>
      <c r="L1002" s="48"/>
      <c r="M1002" s="48"/>
      <c r="N1002" s="271"/>
    </row>
    <row r="1003" spans="2:14" ht="20.100000000000001" customHeight="1">
      <c r="D1003" s="58"/>
      <c r="E1003" s="509" t="s">
        <v>100</v>
      </c>
      <c r="F1003" s="510"/>
      <c r="G1003" s="510"/>
      <c r="H1003" s="511"/>
      <c r="I1003" s="219">
        <v>10</v>
      </c>
      <c r="J1003" s="48"/>
      <c r="K1003" s="506" t="s">
        <v>101</v>
      </c>
      <c r="L1003" s="507"/>
      <c r="M1003" s="507"/>
      <c r="N1003" s="276">
        <f>ROUND(N1001/I1003,2)</f>
        <v>13.82</v>
      </c>
    </row>
    <row r="1004" spans="2:14" ht="3.95" customHeight="1">
      <c r="D1004" s="43"/>
      <c r="E1004" s="44"/>
      <c r="F1004" s="44"/>
      <c r="G1004" s="65"/>
      <c r="H1004" s="44"/>
      <c r="I1004" s="48"/>
      <c r="J1004" s="46"/>
      <c r="K1004" s="46"/>
      <c r="L1004" s="48"/>
      <c r="M1004" s="46"/>
      <c r="N1004" s="277"/>
    </row>
    <row r="1005" spans="2:14" ht="20.100000000000001" customHeight="1">
      <c r="D1005" s="49" t="s">
        <v>102</v>
      </c>
      <c r="E1005" s="22"/>
      <c r="F1005" s="22"/>
      <c r="G1005" s="22"/>
      <c r="H1005" s="22"/>
      <c r="I1005" s="141"/>
      <c r="J1005" s="23"/>
      <c r="K1005" s="50" t="s">
        <v>103</v>
      </c>
      <c r="L1005" s="51" t="s">
        <v>80</v>
      </c>
      <c r="M1005" s="51" t="s">
        <v>104</v>
      </c>
      <c r="N1005" s="272" t="s">
        <v>105</v>
      </c>
    </row>
    <row r="1006" spans="2:14" ht="20.100000000000001" customHeight="1">
      <c r="B1006" s="260" t="s">
        <v>377</v>
      </c>
      <c r="D1006" s="52" t="str">
        <f>IF(B1006=0,0,VLOOKUP(B1006,MAT,3,FALSE))</f>
        <v>PINTURA DE LIGAÇÃO</v>
      </c>
      <c r="E1006" s="53"/>
      <c r="F1006" s="53"/>
      <c r="G1006" s="53"/>
      <c r="H1006" s="53"/>
      <c r="I1006" s="36"/>
      <c r="J1006" s="54"/>
      <c r="K1006" s="66" t="str">
        <f>IF(B1006=0,0,VLOOKUP(B1006,MAT,5,FALSE))</f>
        <v>M2</v>
      </c>
      <c r="L1006" s="55">
        <f>IF(B1006=0,0,VLOOKUP(B1006,MAT,6,FALSE))</f>
        <v>0.60227600000000003</v>
      </c>
      <c r="M1006" s="433">
        <v>1</v>
      </c>
      <c r="N1006" s="273">
        <f>ROUND(L1006*M1006,2)</f>
        <v>0.6</v>
      </c>
    </row>
    <row r="1007" spans="2:14" ht="20.100000000000001" customHeight="1">
      <c r="B1007" s="260" t="s">
        <v>316</v>
      </c>
      <c r="D1007" s="52" t="str">
        <f>IF(B1007=0,0,VLOOKUP(B1007,MAT,3,FALSE))</f>
        <v>MISTURA BETUMINOSA</v>
      </c>
      <c r="E1007" s="53"/>
      <c r="F1007" s="53"/>
      <c r="G1007" s="53"/>
      <c r="H1007" s="53"/>
      <c r="I1007" s="36"/>
      <c r="J1007" s="54"/>
      <c r="K1007" s="66" t="str">
        <f>IF(B1007=0,0,VLOOKUP(B1007,MAT,5,FALSE))</f>
        <v>T</v>
      </c>
      <c r="L1007" s="55">
        <f>IF(B1007=0,0,VLOOKUP(B1007,MAT,6,FALSE))</f>
        <v>65.77427999999999</v>
      </c>
      <c r="M1007" s="433">
        <v>0.12</v>
      </c>
      <c r="N1007" s="273">
        <f>ROUND(L1007*M1007,2)</f>
        <v>7.89</v>
      </c>
    </row>
    <row r="1008" spans="2:14" ht="20.100000000000001" customHeight="1">
      <c r="B1008" s="260"/>
      <c r="D1008" s="383">
        <f>IF(B1008=0,0,VLOOKUP(B1008,MAT,3,FALSE))</f>
        <v>0</v>
      </c>
      <c r="E1008" s="384"/>
      <c r="F1008" s="384"/>
      <c r="G1008" s="384"/>
      <c r="H1008" s="384"/>
      <c r="I1008" s="384"/>
      <c r="J1008" s="385"/>
      <c r="K1008" s="386">
        <f>IF(B1008=0,0,VLOOKUP(B1008,MAT,5,FALSE))</f>
        <v>0</v>
      </c>
      <c r="L1008" s="387">
        <f>IF(B1008=0,0,VLOOKUP(B1008,MAT,6,FALSE))</f>
        <v>0</v>
      </c>
      <c r="M1008" s="387"/>
      <c r="N1008" s="398">
        <f>ROUND(L1008*M1008,2)</f>
        <v>0</v>
      </c>
    </row>
    <row r="1009" spans="2:15" ht="20.100000000000001" customHeight="1">
      <c r="D1009" s="43"/>
      <c r="E1009" s="44"/>
      <c r="F1009" s="44"/>
      <c r="G1009" s="65"/>
      <c r="H1009" s="44"/>
      <c r="I1009" s="48"/>
      <c r="J1009" s="46"/>
      <c r="K1009" s="46"/>
      <c r="L1009" s="48"/>
      <c r="M1009" s="71" t="s">
        <v>106</v>
      </c>
      <c r="N1009" s="270">
        <f>N1006+N1007+N1008</f>
        <v>8.49</v>
      </c>
    </row>
    <row r="1010" spans="2:15" ht="3.95" customHeight="1">
      <c r="D1010" s="43"/>
      <c r="E1010" s="44"/>
      <c r="F1010" s="44"/>
      <c r="G1010" s="65"/>
      <c r="H1010" s="44"/>
      <c r="I1010" s="48"/>
      <c r="J1010" s="46"/>
      <c r="K1010" s="46"/>
      <c r="L1010" s="48"/>
      <c r="M1010" s="46"/>
      <c r="N1010" s="277"/>
    </row>
    <row r="1011" spans="2:15" ht="20.100000000000001" customHeight="1">
      <c r="D1011" s="527" t="s">
        <v>107</v>
      </c>
      <c r="E1011" s="72" t="s">
        <v>2</v>
      </c>
      <c r="F1011" s="73"/>
      <c r="G1011" s="73"/>
      <c r="H1011" s="74"/>
      <c r="I1011" s="498" t="s">
        <v>108</v>
      </c>
      <c r="J1011" s="499"/>
      <c r="K1011" s="531" t="s">
        <v>103</v>
      </c>
      <c r="L1011" s="514" t="s">
        <v>80</v>
      </c>
      <c r="M1011" s="531" t="s">
        <v>109</v>
      </c>
      <c r="N1011" s="529" t="s">
        <v>105</v>
      </c>
    </row>
    <row r="1012" spans="2:15" ht="20.100000000000001" customHeight="1">
      <c r="D1012" s="528"/>
      <c r="E1012" s="512" t="s">
        <v>127</v>
      </c>
      <c r="F1012" s="513"/>
      <c r="G1012" s="512" t="s">
        <v>111</v>
      </c>
      <c r="H1012" s="513"/>
      <c r="I1012" s="500"/>
      <c r="J1012" s="501"/>
      <c r="K1012" s="532"/>
      <c r="L1012" s="515"/>
      <c r="M1012" s="532"/>
      <c r="N1012" s="530"/>
    </row>
    <row r="1013" spans="2:15" ht="20.100000000000001" customHeight="1">
      <c r="B1013" s="260" t="s">
        <v>343</v>
      </c>
      <c r="D1013" s="261" t="str">
        <f>IF(B1013=0,0,VLOOKUP(B1013,TRANS,3,FALSE))</f>
        <v>LOCAL C/ CAM. BASC. ROD. PAV.</v>
      </c>
      <c r="E1013" s="504">
        <f>IF(B1013=0,0,VLOOKUP(B1013,TRANS,5,FALSE))</f>
        <v>0.54</v>
      </c>
      <c r="F1013" s="505"/>
      <c r="G1013" s="502"/>
      <c r="H1013" s="503"/>
      <c r="I1013" s="504">
        <f>IF(B1013=0,0,VLOOKUP(B1013,TRANS,6,FALSE))</f>
        <v>45.53</v>
      </c>
      <c r="J1013" s="505"/>
      <c r="K1013" s="262" t="str">
        <f>IF(B1013=0,0,VLOOKUP(B1013,TRANS,4,FALSE))</f>
        <v>T.KM</v>
      </c>
      <c r="L1013" s="55">
        <f>E1013*I1013</f>
        <v>24.586200000000002</v>
      </c>
      <c r="M1013" s="433">
        <v>0.12</v>
      </c>
      <c r="N1013" s="273">
        <f>ROUND(L1013*M1013,2)</f>
        <v>2.95</v>
      </c>
    </row>
    <row r="1014" spans="2:15" ht="20.100000000000001" customHeight="1">
      <c r="B1014" s="260"/>
      <c r="D1014" s="399">
        <f>IF(B1014=0,0,VLOOKUP(B1014,TRANS,3,FALSE))</f>
        <v>0</v>
      </c>
      <c r="E1014" s="588">
        <f>IF(B1014=0,0,VLOOKUP(B1014,TRANS,5,FALSE))</f>
        <v>0</v>
      </c>
      <c r="F1014" s="589"/>
      <c r="G1014" s="590"/>
      <c r="H1014" s="591"/>
      <c r="I1014" s="588"/>
      <c r="J1014" s="589"/>
      <c r="K1014" s="386">
        <f>IF(B1014=0,0,VLOOKUP(B1014,TRANS,4,FALSE))</f>
        <v>0</v>
      </c>
      <c r="L1014" s="387">
        <f>E1014*I1014</f>
        <v>0</v>
      </c>
      <c r="M1014" s="387"/>
      <c r="N1014" s="398">
        <f>ROUND(L1014*M1014,2)</f>
        <v>0</v>
      </c>
    </row>
    <row r="1015" spans="2:15" ht="20.100000000000001" customHeight="1">
      <c r="B1015" s="260"/>
      <c r="D1015" s="399">
        <f>IF(B1015=0,0,VLOOKUP(B1015,TRANS,3,FALSE))</f>
        <v>0</v>
      </c>
      <c r="E1015" s="588">
        <f>IF(B1015=0,0,VLOOKUP(B1015,TRANS,5,FALSE))</f>
        <v>0</v>
      </c>
      <c r="F1015" s="589"/>
      <c r="G1015" s="590"/>
      <c r="H1015" s="591"/>
      <c r="I1015" s="588"/>
      <c r="J1015" s="589"/>
      <c r="K1015" s="386">
        <f>IF(B1015=0,0,VLOOKUP(B1015,TRANS,4,FALSE))</f>
        <v>0</v>
      </c>
      <c r="L1015" s="387">
        <f>E1015*I1015</f>
        <v>0</v>
      </c>
      <c r="M1015" s="387"/>
      <c r="N1015" s="398">
        <f>ROUND(L1015*M1015,2)</f>
        <v>0</v>
      </c>
    </row>
    <row r="1016" spans="2:15" ht="20.100000000000001" customHeight="1">
      <c r="D1016" s="76"/>
      <c r="E1016" s="77"/>
      <c r="F1016" s="44"/>
      <c r="G1016" s="65"/>
      <c r="H1016" s="44"/>
      <c r="I1016" s="48"/>
      <c r="J1016" s="46"/>
      <c r="K1016" s="46"/>
      <c r="L1016" s="48"/>
      <c r="M1016" s="71" t="s">
        <v>112</v>
      </c>
      <c r="N1016" s="270">
        <f>SUM(N1013:N1015)</f>
        <v>2.95</v>
      </c>
    </row>
    <row r="1017" spans="2:15" ht="3.95" customHeight="1">
      <c r="D1017" s="76"/>
      <c r="E1017" s="44"/>
      <c r="F1017" s="65"/>
      <c r="G1017" s="44"/>
      <c r="H1017" s="46"/>
      <c r="I1017" s="48"/>
      <c r="J1017" s="46"/>
      <c r="K1017" s="46"/>
      <c r="L1017" s="48"/>
      <c r="M1017" s="46"/>
      <c r="N1017" s="277"/>
    </row>
    <row r="1018" spans="2:15" ht="20.100000000000001" customHeight="1">
      <c r="D1018" s="40"/>
      <c r="E1018" s="65"/>
      <c r="F1018" s="65"/>
      <c r="G1018" s="65"/>
      <c r="H1018" s="44"/>
      <c r="I1018" s="233"/>
      <c r="J1018" s="143"/>
      <c r="K1018" s="565" t="s">
        <v>129</v>
      </c>
      <c r="L1018" s="566"/>
      <c r="M1018" s="567"/>
      <c r="N1018" s="279">
        <f>+N1003+N1009+N1016</f>
        <v>25.26</v>
      </c>
    </row>
    <row r="1019" spans="2:15" ht="20.100000000000001" customHeight="1">
      <c r="D1019" s="98"/>
      <c r="E1019" s="144"/>
      <c r="F1019" s="46"/>
      <c r="G1019" s="46"/>
      <c r="H1019" s="46"/>
      <c r="I1019" s="48"/>
      <c r="J1019" s="46"/>
      <c r="K1019" s="81" t="s">
        <v>115</v>
      </c>
      <c r="L1019" s="359">
        <f>DI</f>
        <v>0.26700000000000002</v>
      </c>
      <c r="M1019" s="83"/>
      <c r="N1019" s="279">
        <f>L1019*N1018</f>
        <v>6.7444200000000007</v>
      </c>
    </row>
    <row r="1020" spans="2:15" ht="20.100000000000001" customHeight="1" thickBot="1">
      <c r="D1020" s="102"/>
      <c r="E1020" s="145"/>
      <c r="F1020" s="85"/>
      <c r="G1020" s="85"/>
      <c r="H1020" s="85"/>
      <c r="I1020" s="225"/>
      <c r="J1020" s="85"/>
      <c r="K1020" s="86" t="s">
        <v>147</v>
      </c>
      <c r="L1020" s="280"/>
      <c r="M1020" s="89"/>
      <c r="N1020" s="281">
        <f>SUM(N1018:N1019)</f>
        <v>32.004420000000003</v>
      </c>
    </row>
    <row r="1021" spans="2:15" ht="3.95" customHeight="1" thickBot="1"/>
    <row r="1022" spans="2:15" ht="20.100000000000001" customHeight="1">
      <c r="D1022" s="555" t="s">
        <v>131</v>
      </c>
      <c r="E1022" s="556"/>
      <c r="F1022" s="556"/>
      <c r="G1022" s="556"/>
      <c r="H1022" s="556"/>
      <c r="I1022" s="556"/>
      <c r="J1022" s="557"/>
      <c r="K1022" s="146" t="s">
        <v>103</v>
      </c>
      <c r="L1022" s="19" t="s">
        <v>80</v>
      </c>
      <c r="M1022" s="19" t="s">
        <v>104</v>
      </c>
      <c r="N1022" s="297" t="s">
        <v>105</v>
      </c>
    </row>
    <row r="1023" spans="2:15" ht="20.100000000000001" customHeight="1">
      <c r="B1023" s="260" t="s">
        <v>357</v>
      </c>
      <c r="D1023" s="264" t="str">
        <f>IF(B1023=0,0,VLOOKUP(B1023,MAT_BET,3,FALSE))</f>
        <v>AQUISIÇÃO CAP -20</v>
      </c>
      <c r="E1023" s="265"/>
      <c r="F1023" s="265"/>
      <c r="G1023" s="265"/>
      <c r="H1023" s="265"/>
      <c r="I1023" s="265"/>
      <c r="J1023" s="266"/>
      <c r="K1023" s="262" t="str">
        <f>IF(B1023=0,0,VLOOKUP(B1023,MAT_BET,4,FALSE))</f>
        <v>T</v>
      </c>
      <c r="L1023" s="411">
        <f>IF(B1023=0,0,VLOOKUP(B1023,MAT_BET,5,FALSE))</f>
        <v>1132</v>
      </c>
      <c r="M1023" s="433">
        <v>7.1999999999999998E-3</v>
      </c>
      <c r="N1023" s="273">
        <f>ROUND(L1023*M1023,2)</f>
        <v>8.15</v>
      </c>
    </row>
    <row r="1024" spans="2:15" ht="20.100000000000001" customHeight="1">
      <c r="B1024" s="260"/>
      <c r="D1024" s="264">
        <f>IF(B1024=0,0,VLOOKUP(B1024,MAT_BET,3,FALSE))</f>
        <v>0</v>
      </c>
      <c r="E1024" s="265"/>
      <c r="F1024" s="265"/>
      <c r="G1024" s="265"/>
      <c r="H1024" s="265"/>
      <c r="I1024" s="265"/>
      <c r="J1024" s="266"/>
      <c r="K1024" s="262">
        <f>IF(B1024=0,0,VLOOKUP(B1024,MAT_BET,4,FALSE))</f>
        <v>0</v>
      </c>
      <c r="L1024" s="267">
        <f>IF(B1024=0,0,VLOOKUP(B1024,MAT_BET,5,FALSE))</f>
        <v>0</v>
      </c>
      <c r="M1024" s="147"/>
      <c r="N1024" s="267">
        <f>ROUND(L1024*M1024,2)</f>
        <v>0</v>
      </c>
      <c r="O1024" s="393"/>
    </row>
    <row r="1025" spans="2:15" ht="20.100000000000001" customHeight="1">
      <c r="B1025" s="260"/>
      <c r="D1025" s="264">
        <f>IF(B1025=0,0,VLOOKUP(B1025,MAT_BET,3,FALSE))</f>
        <v>0</v>
      </c>
      <c r="E1025" s="265"/>
      <c r="F1025" s="265"/>
      <c r="G1025" s="265"/>
      <c r="H1025" s="265"/>
      <c r="I1025" s="265"/>
      <c r="J1025" s="266"/>
      <c r="K1025" s="262">
        <f>IF(B1025=0,0,VLOOKUP(B1025,MAT_BET,4,FALSE))</f>
        <v>0</v>
      </c>
      <c r="L1025" s="267">
        <f>IF(B1025=0,0,VLOOKUP(B1025,MAT_BET,5,FALSE))</f>
        <v>0</v>
      </c>
      <c r="M1025" s="147"/>
      <c r="N1025" s="267">
        <f>ROUND(L1025*M1025,2)</f>
        <v>0</v>
      </c>
      <c r="O1025" s="393">
        <f>SUM(N1023:N1025)</f>
        <v>8.15</v>
      </c>
    </row>
    <row r="1026" spans="2:15" ht="20.100000000000001" customHeight="1">
      <c r="D1026" s="114"/>
      <c r="E1026" s="59"/>
      <c r="F1026" s="59"/>
      <c r="G1026" s="59"/>
      <c r="H1026" s="59"/>
      <c r="I1026" s="91"/>
      <c r="J1026" s="115"/>
      <c r="K1026" s="81" t="s">
        <v>115</v>
      </c>
      <c r="L1026" s="359">
        <f>DI</f>
        <v>0.26700000000000002</v>
      </c>
      <c r="M1026" s="83"/>
      <c r="N1026" s="279">
        <f>(N1023+N1024+N1025)*L1026</f>
        <v>2.17605</v>
      </c>
    </row>
    <row r="1027" spans="2:15" ht="20.100000000000001" customHeight="1">
      <c r="D1027" s="76"/>
      <c r="E1027" s="77"/>
      <c r="F1027" s="77"/>
      <c r="G1027" s="77"/>
      <c r="H1027" s="77"/>
      <c r="I1027" s="156"/>
      <c r="J1027" s="116"/>
      <c r="K1027" s="81" t="s">
        <v>2</v>
      </c>
      <c r="L1027" s="289"/>
      <c r="M1027" s="83"/>
      <c r="N1027" s="279">
        <f>SUM(N1023:N1026)</f>
        <v>10.32605</v>
      </c>
    </row>
    <row r="1028" spans="2:15" ht="20.100000000000001" customHeight="1">
      <c r="D1028" s="117"/>
      <c r="E1028" s="118"/>
      <c r="F1028" s="118"/>
      <c r="G1028" s="118"/>
      <c r="H1028" s="118"/>
      <c r="I1028" s="94"/>
      <c r="J1028" s="119"/>
      <c r="K1028" s="113" t="s">
        <v>103</v>
      </c>
      <c r="L1028" s="34" t="s">
        <v>80</v>
      </c>
      <c r="M1028" s="34" t="s">
        <v>104</v>
      </c>
      <c r="N1028" s="288" t="s">
        <v>105</v>
      </c>
    </row>
    <row r="1029" spans="2:15" ht="19.5" customHeight="1">
      <c r="B1029" s="260" t="s">
        <v>363</v>
      </c>
      <c r="D1029" s="264" t="str">
        <f>IF(B1029=0,0,VLOOKUP(B1029,MAT_BET,3,FALSE))</f>
        <v>TRANSPORTE CAP - 20</v>
      </c>
      <c r="E1029" s="265"/>
      <c r="F1029" s="265"/>
      <c r="G1029" s="265"/>
      <c r="H1029" s="265"/>
      <c r="I1029" s="265"/>
      <c r="J1029" s="266"/>
      <c r="K1029" s="262" t="str">
        <f>IF(B1029=0,0,VLOOKUP(B1029,MAT_BET,4,FALSE))</f>
        <v>T</v>
      </c>
      <c r="L1029" s="411">
        <f>IF(B1029=0,0,VLOOKUP(B1029,MAT_BET,5,FALSE))</f>
        <v>230.69</v>
      </c>
      <c r="M1029" s="433">
        <v>7.1999999999999998E-3</v>
      </c>
      <c r="N1029" s="278">
        <f>(L1029*M1029)</f>
        <v>1.660968</v>
      </c>
    </row>
    <row r="1030" spans="2:15" ht="20.100000000000001" customHeight="1">
      <c r="B1030" s="260"/>
      <c r="D1030" s="264">
        <f>IF(B1030=0,0,VLOOKUP(B1030,MAT_BET,3,FALSE))</f>
        <v>0</v>
      </c>
      <c r="E1030" s="265"/>
      <c r="F1030" s="265"/>
      <c r="G1030" s="265"/>
      <c r="H1030" s="265"/>
      <c r="I1030" s="265"/>
      <c r="J1030" s="266"/>
      <c r="K1030" s="262">
        <f>IF(B1030=0,0,VLOOKUP(B1030,MAT_BET,4,FALSE))</f>
        <v>0</v>
      </c>
      <c r="L1030" s="267">
        <f>IF(B1030=0,0,VLOOKUP(B1030,MAT_BET,5,FALSE))</f>
        <v>0</v>
      </c>
      <c r="M1030" s="147"/>
      <c r="N1030" s="267">
        <f>(L1030*M1030)</f>
        <v>0</v>
      </c>
      <c r="O1030" s="393"/>
    </row>
    <row r="1031" spans="2:15" ht="20.100000000000001" customHeight="1">
      <c r="B1031" s="260"/>
      <c r="D1031" s="264">
        <f>IF(B1031=0,0,VLOOKUP(B1031,MAT_BET,3,FALSE))</f>
        <v>0</v>
      </c>
      <c r="E1031" s="265"/>
      <c r="F1031" s="265"/>
      <c r="G1031" s="265"/>
      <c r="H1031" s="265"/>
      <c r="I1031" s="265"/>
      <c r="J1031" s="266"/>
      <c r="K1031" s="262">
        <f>IF(B1031=0,0,VLOOKUP(B1031,MAT_BET,4,FALSE))</f>
        <v>0</v>
      </c>
      <c r="L1031" s="267">
        <f>IF(B1031=0,0,VLOOKUP(B1031,MAT_BET,5,FALSE))</f>
        <v>0</v>
      </c>
      <c r="M1031" s="147"/>
      <c r="N1031" s="267">
        <f>(L1031*M1031)</f>
        <v>0</v>
      </c>
      <c r="O1031" s="393">
        <f>SUM(N1029:N1031)</f>
        <v>1.660968</v>
      </c>
    </row>
    <row r="1032" spans="2:15" ht="20.100000000000001" customHeight="1">
      <c r="D1032" s="114"/>
      <c r="E1032" s="59"/>
      <c r="F1032" s="59"/>
      <c r="G1032" s="59"/>
      <c r="H1032" s="59"/>
      <c r="I1032" s="91"/>
      <c r="J1032" s="115"/>
      <c r="K1032" s="81" t="s">
        <v>115</v>
      </c>
      <c r="L1032" s="359">
        <f>DI</f>
        <v>0.26700000000000002</v>
      </c>
      <c r="M1032" s="83"/>
      <c r="N1032" s="279">
        <f>(N1029+N1030+N1031)*L1032</f>
        <v>0.44347845600000002</v>
      </c>
    </row>
    <row r="1033" spans="2:15" ht="20.100000000000001" customHeight="1" thickBot="1">
      <c r="D1033" s="76"/>
      <c r="E1033" s="77"/>
      <c r="F1033" s="77"/>
      <c r="G1033" s="77"/>
      <c r="H1033" s="77"/>
      <c r="I1033" s="156"/>
      <c r="J1033" s="116"/>
      <c r="K1033" s="97" t="s">
        <v>148</v>
      </c>
      <c r="L1033" s="290"/>
      <c r="M1033" s="120"/>
      <c r="N1033" s="291">
        <f>SUM(N1029:N1032)</f>
        <v>2.1044464559999998</v>
      </c>
    </row>
    <row r="1034" spans="2:15" ht="20.100000000000001" customHeight="1" thickBot="1">
      <c r="D1034" s="121"/>
      <c r="E1034" s="122"/>
      <c r="F1034" s="122"/>
      <c r="G1034" s="123"/>
      <c r="H1034" s="122"/>
      <c r="I1034" s="227"/>
      <c r="J1034" s="124"/>
      <c r="K1034" s="549" t="s">
        <v>134</v>
      </c>
      <c r="L1034" s="549"/>
      <c r="M1034" s="550"/>
      <c r="N1034" s="292">
        <f>N1027+N1033</f>
        <v>12.430496456</v>
      </c>
    </row>
    <row r="1035" spans="2:15" ht="3.95" customHeight="1" thickBot="1">
      <c r="D1035" s="98"/>
      <c r="E1035" s="99"/>
      <c r="F1035" s="44"/>
      <c r="G1035" s="65"/>
      <c r="H1035" s="44"/>
      <c r="I1035" s="48"/>
      <c r="J1035" s="46"/>
      <c r="K1035" s="46"/>
      <c r="L1035" s="48"/>
      <c r="M1035" s="100"/>
      <c r="N1035" s="282"/>
    </row>
    <row r="1036" spans="2:15" ht="20.100000000000001" customHeight="1">
      <c r="D1036" s="126"/>
      <c r="E1036" s="108"/>
      <c r="F1036" s="108"/>
      <c r="G1036" s="109"/>
      <c r="H1036" s="108"/>
      <c r="I1036" s="127" t="s">
        <v>114</v>
      </c>
      <c r="J1036" s="128"/>
      <c r="K1036" s="128"/>
      <c r="L1036" s="354">
        <v>0.02</v>
      </c>
      <c r="M1036" s="129"/>
      <c r="N1036" s="294">
        <f>(N1018+O1025+O1031)*L1036</f>
        <v>0.70141936000000005</v>
      </c>
    </row>
    <row r="1037" spans="2:15" ht="20.100000000000001" customHeight="1" thickBot="1">
      <c r="D1037" s="130"/>
      <c r="E1037" s="104"/>
      <c r="F1037" s="104"/>
      <c r="G1037" s="105"/>
      <c r="H1037" s="104"/>
      <c r="I1037" s="547" t="s">
        <v>149</v>
      </c>
      <c r="J1037" s="548"/>
      <c r="K1037" s="548"/>
      <c r="L1037" s="548"/>
      <c r="M1037" s="131"/>
      <c r="N1037" s="295">
        <f>(N1018+O1025+O1031)+N1036</f>
        <v>35.772387360000003</v>
      </c>
    </row>
    <row r="1038" spans="2:15" ht="3.95" customHeight="1">
      <c r="D1038" s="98"/>
      <c r="E1038" s="99"/>
      <c r="F1038" s="44"/>
      <c r="G1038" s="65"/>
      <c r="H1038" s="44"/>
      <c r="I1038" s="355"/>
      <c r="J1038" s="355"/>
      <c r="K1038" s="355"/>
      <c r="L1038" s="355"/>
      <c r="M1038" s="100"/>
      <c r="N1038" s="282"/>
    </row>
    <row r="1039" spans="2:15" ht="20.100000000000001" customHeight="1" thickBot="1">
      <c r="D1039" s="137"/>
      <c r="E1039" s="138"/>
      <c r="F1039" s="138"/>
      <c r="G1039" s="138"/>
      <c r="H1039" s="138"/>
      <c r="I1039" s="356" t="s">
        <v>150</v>
      </c>
      <c r="J1039" s="357"/>
      <c r="K1039" s="357"/>
      <c r="L1039" s="358">
        <f>DI</f>
        <v>0.26700000000000002</v>
      </c>
      <c r="M1039" s="140"/>
      <c r="N1039" s="295">
        <f>(L1039*N1037)+N1037</f>
        <v>45.323614785120007</v>
      </c>
    </row>
    <row r="1040" spans="2:15" ht="20.100000000000001" customHeight="1">
      <c r="D1040" s="153"/>
      <c r="E1040" s="153"/>
      <c r="F1040" s="153"/>
      <c r="G1040" s="153"/>
      <c r="H1040" s="153"/>
      <c r="I1040" s="234"/>
      <c r="J1040" s="154"/>
      <c r="K1040" s="154"/>
      <c r="L1040" s="293"/>
      <c r="M1040" s="100"/>
      <c r="N1040" s="311"/>
    </row>
    <row r="1041" spans="2:14" ht="20.100000000000001" customHeight="1">
      <c r="D1041" s="153"/>
      <c r="E1041" s="153"/>
      <c r="F1041" s="153"/>
      <c r="G1041" s="153"/>
      <c r="H1041" s="153"/>
      <c r="I1041" s="234"/>
      <c r="J1041" s="154"/>
      <c r="K1041" s="154"/>
      <c r="L1041" s="293"/>
      <c r="M1041" s="100"/>
      <c r="N1041" s="311"/>
    </row>
    <row r="1042" spans="2:14" ht="20.100000000000001" customHeight="1" thickBot="1">
      <c r="D1042" s="85"/>
      <c r="E1042" s="85"/>
      <c r="F1042" s="85"/>
      <c r="G1042" s="85"/>
      <c r="H1042" s="85"/>
      <c r="I1042" s="225"/>
      <c r="J1042" s="85"/>
      <c r="K1042" s="85"/>
      <c r="L1042" s="225"/>
      <c r="M1042" s="85"/>
      <c r="N1042" s="225"/>
    </row>
    <row r="1043" spans="2:14" ht="20.100000000000001" customHeight="1">
      <c r="B1043" s="197" t="s">
        <v>202</v>
      </c>
      <c r="D1043" s="520"/>
      <c r="E1043" s="521"/>
      <c r="F1043" s="524" t="s">
        <v>74</v>
      </c>
      <c r="G1043" s="525"/>
      <c r="H1043" s="525"/>
      <c r="I1043" s="525"/>
      <c r="J1043" s="525"/>
      <c r="K1043" s="525"/>
      <c r="L1043" s="526"/>
      <c r="M1043" s="19" t="s">
        <v>75</v>
      </c>
      <c r="N1043" s="20" t="s">
        <v>76</v>
      </c>
    </row>
    <row r="1044" spans="2:14" ht="34.5" customHeight="1">
      <c r="D1044" s="522"/>
      <c r="E1044" s="523"/>
      <c r="F1044" s="574" t="str">
        <f>VLOOKUP(B1043,Resumo_Composições,3,FALSE)</f>
        <v>RECOMPOSIÇÃO DO PAVIMENTO COM REPAROS  LOCALIZADOS SUPERFICIAIS - ACOSTAMENTOS</v>
      </c>
      <c r="G1044" s="575"/>
      <c r="H1044" s="575"/>
      <c r="I1044" s="575"/>
      <c r="J1044" s="575"/>
      <c r="K1044" s="575"/>
      <c r="L1044" s="576"/>
      <c r="M1044" s="24" t="str">
        <f>VLOOKUP(B1043,Resumo_Composições,4,FALSE)</f>
        <v>M2</v>
      </c>
      <c r="N1044" s="25">
        <f>DATA</f>
        <v>41214</v>
      </c>
    </row>
    <row r="1045" spans="2:14" ht="20.100000000000001" customHeight="1">
      <c r="D1045" s="26" t="s">
        <v>77</v>
      </c>
      <c r="E1045" s="27"/>
      <c r="F1045" s="27"/>
      <c r="G1045" s="27"/>
      <c r="H1045" s="28"/>
      <c r="I1045" s="214" t="s">
        <v>78</v>
      </c>
      <c r="J1045" s="509" t="s">
        <v>79</v>
      </c>
      <c r="K1045" s="511"/>
      <c r="L1045" s="535" t="s">
        <v>80</v>
      </c>
      <c r="M1045" s="536"/>
      <c r="N1045" s="516" t="s">
        <v>81</v>
      </c>
    </row>
    <row r="1046" spans="2:14" ht="20.100000000000001" customHeight="1">
      <c r="D1046" s="31"/>
      <c r="E1046" s="32"/>
      <c r="F1046" s="32"/>
      <c r="G1046" s="32"/>
      <c r="H1046" s="33"/>
      <c r="I1046" s="34"/>
      <c r="J1046" s="51" t="s">
        <v>82</v>
      </c>
      <c r="K1046" s="51" t="s">
        <v>83</v>
      </c>
      <c r="L1046" s="51" t="s">
        <v>82</v>
      </c>
      <c r="M1046" s="51" t="s">
        <v>84</v>
      </c>
      <c r="N1046" s="517"/>
    </row>
    <row r="1047" spans="2:14" ht="20.100000000000001" customHeight="1">
      <c r="B1047" s="260" t="s">
        <v>272</v>
      </c>
      <c r="D1047" s="35" t="str">
        <f>IF(B1047=0,0,VLOOKUP(B1047,EQUIP,3,FALSE))</f>
        <v>COMPRESSOR DE AR (59KW)</v>
      </c>
      <c r="E1047" s="36"/>
      <c r="F1047" s="36"/>
      <c r="G1047" s="36"/>
      <c r="H1047" s="37"/>
      <c r="I1047" s="215">
        <v>1</v>
      </c>
      <c r="J1047" s="38">
        <v>0.3</v>
      </c>
      <c r="K1047" s="38">
        <f>1-J1047</f>
        <v>0.7</v>
      </c>
      <c r="L1047" s="215">
        <f>IF(B1047=0,0,VLOOKUP(B1047,EQUIP,6,FALSE))</f>
        <v>50.66</v>
      </c>
      <c r="M1047" s="38">
        <f>IF(B1047=0,0,VLOOKUP(B1047,EQUIP,7,FALSE))</f>
        <v>17.27</v>
      </c>
      <c r="N1047" s="269">
        <f>ROUND(I1047*J1047*L1047+I1047*K1047*M1047,2)</f>
        <v>27.29</v>
      </c>
    </row>
    <row r="1048" spans="2:14" ht="20.100000000000001" customHeight="1">
      <c r="B1048" s="260" t="s">
        <v>271</v>
      </c>
      <c r="D1048" s="35" t="str">
        <f>IF(B1048=0,0,VLOOKUP(B1048,EQUIP,3,FALSE))</f>
        <v>COMPACTADOR MANUAL - soquete vibratório</v>
      </c>
      <c r="E1048" s="36"/>
      <c r="F1048" s="36"/>
      <c r="G1048" s="36"/>
      <c r="H1048" s="37"/>
      <c r="I1048" s="215">
        <v>1</v>
      </c>
      <c r="J1048" s="38">
        <v>0.6</v>
      </c>
      <c r="K1048" s="38">
        <f>1-J1048</f>
        <v>0.4</v>
      </c>
      <c r="L1048" s="215">
        <f>IF(B1048=0,0,VLOOKUP(B1048,EQUIP,6,FALSE))</f>
        <v>17.47</v>
      </c>
      <c r="M1048" s="38">
        <f>IF(B1048=0,0,VLOOKUP(B1048,EQUIP,7,FALSE))</f>
        <v>15.355</v>
      </c>
      <c r="N1048" s="269">
        <f>ROUND(I1048*J1048*L1048+I1048*K1048*M1048,2)</f>
        <v>16.62</v>
      </c>
    </row>
    <row r="1049" spans="2:14" ht="20.100000000000001" customHeight="1">
      <c r="B1049" s="260" t="s">
        <v>270</v>
      </c>
      <c r="D1049" s="35" t="str">
        <f>IF(B1049=0,0,VLOOKUP(B1049,EQUIP,3,FALSE))</f>
        <v>COMPACTADOR MANUAL - placa vibratória (3kW)</v>
      </c>
      <c r="E1049" s="36"/>
      <c r="F1049" s="36"/>
      <c r="G1049" s="36"/>
      <c r="H1049" s="37"/>
      <c r="I1049" s="215">
        <v>1</v>
      </c>
      <c r="J1049" s="38">
        <v>0.1</v>
      </c>
      <c r="K1049" s="38">
        <f>1-J1049</f>
        <v>0.9</v>
      </c>
      <c r="L1049" s="215">
        <f>IF(B1049=0,0,VLOOKUP(B1049,EQUIP,6,FALSE))</f>
        <v>17.11</v>
      </c>
      <c r="M1049" s="38">
        <f>IF(B1049=0,0,VLOOKUP(B1049,EQUIP,7,FALSE))</f>
        <v>15.33</v>
      </c>
      <c r="N1049" s="269">
        <f>ROUND(I1049*J1049*L1049+I1049*K1049*M1049,2)</f>
        <v>15.51</v>
      </c>
    </row>
    <row r="1050" spans="2:14" ht="20.100000000000001" customHeight="1">
      <c r="B1050" s="260"/>
      <c r="D1050" s="35"/>
      <c r="E1050" s="36"/>
      <c r="F1050" s="36"/>
      <c r="G1050" s="36"/>
      <c r="H1050" s="37"/>
      <c r="I1050" s="55"/>
      <c r="J1050" s="142"/>
      <c r="K1050" s="39"/>
      <c r="L1050" s="57"/>
      <c r="M1050" s="39"/>
      <c r="N1050" s="269"/>
    </row>
    <row r="1051" spans="2:14" ht="20.100000000000001" customHeight="1">
      <c r="B1051" s="260"/>
      <c r="D1051" s="35"/>
      <c r="E1051" s="36"/>
      <c r="F1051" s="36"/>
      <c r="G1051" s="36"/>
      <c r="H1051" s="37"/>
      <c r="I1051" s="55"/>
      <c r="J1051" s="142"/>
      <c r="K1051" s="39"/>
      <c r="L1051" s="57"/>
      <c r="M1051" s="39"/>
      <c r="N1051" s="269"/>
    </row>
    <row r="1052" spans="2:14" ht="20.100000000000001" customHeight="1">
      <c r="D1052" s="40"/>
      <c r="E1052" s="41"/>
      <c r="F1052" s="41"/>
      <c r="G1052" s="41"/>
      <c r="H1052" s="41"/>
      <c r="I1052" s="216"/>
      <c r="J1052" s="41"/>
      <c r="K1052" s="41"/>
      <c r="L1052" s="216"/>
      <c r="M1052" s="42" t="s">
        <v>89</v>
      </c>
      <c r="N1052" s="270">
        <f>SUM(N1047:N1051)</f>
        <v>59.419999999999995</v>
      </c>
    </row>
    <row r="1053" spans="2:14" ht="3.95" customHeight="1">
      <c r="D1053" s="43"/>
      <c r="E1053" s="44"/>
      <c r="F1053" s="44"/>
      <c r="G1053" s="45"/>
      <c r="H1053" s="44"/>
      <c r="I1053" s="217"/>
      <c r="J1053" s="46"/>
      <c r="K1053" s="47"/>
      <c r="L1053" s="48"/>
      <c r="M1053" s="48"/>
      <c r="N1053" s="271"/>
    </row>
    <row r="1054" spans="2:14" ht="20.100000000000001" customHeight="1">
      <c r="D1054" s="584" t="s">
        <v>90</v>
      </c>
      <c r="E1054" s="585"/>
      <c r="F1054" s="22"/>
      <c r="G1054" s="22"/>
      <c r="H1054" s="22"/>
      <c r="I1054" s="141"/>
      <c r="J1054" s="23"/>
      <c r="K1054" s="50" t="s">
        <v>91</v>
      </c>
      <c r="L1054" s="51" t="s">
        <v>92</v>
      </c>
      <c r="M1054" s="51" t="s">
        <v>93</v>
      </c>
      <c r="N1054" s="272" t="s">
        <v>94</v>
      </c>
    </row>
    <row r="1055" spans="2:14" ht="20.100000000000001" customHeight="1">
      <c r="B1055" s="260" t="s">
        <v>247</v>
      </c>
      <c r="D1055" s="52" t="str">
        <f>IF(B1055=0,0,VLOOKUP(B1055,MO,2,FALSE))</f>
        <v>ENCARREGADO DE TURMA</v>
      </c>
      <c r="E1055" s="53"/>
      <c r="F1055" s="53"/>
      <c r="G1055" s="53"/>
      <c r="H1055" s="53"/>
      <c r="I1055" s="36"/>
      <c r="J1055" s="54"/>
      <c r="K1055" s="39"/>
      <c r="L1055" s="55">
        <v>1</v>
      </c>
      <c r="M1055" s="55">
        <f>IF(B1055=0,0,VLOOKUP(B1055,MO,6,FALSE))</f>
        <v>27</v>
      </c>
      <c r="N1055" s="273">
        <f>ROUND(L1055*M1055,2)</f>
        <v>27</v>
      </c>
    </row>
    <row r="1056" spans="2:14" ht="20.100000000000001" customHeight="1">
      <c r="B1056" s="260" t="s">
        <v>248</v>
      </c>
      <c r="D1056" s="52" t="str">
        <f>IF(B1056=0,0,VLOOKUP(B1056,MO,2,FALSE))</f>
        <v>SERVENTE</v>
      </c>
      <c r="E1056" s="53"/>
      <c r="F1056" s="53"/>
      <c r="G1056" s="53"/>
      <c r="H1056" s="53"/>
      <c r="I1056" s="36"/>
      <c r="J1056" s="54"/>
      <c r="K1056" s="39"/>
      <c r="L1056" s="55">
        <v>6</v>
      </c>
      <c r="M1056" s="55">
        <f>IF(B1056=0,0,VLOOKUP(B1056,MO,6,FALSE))</f>
        <v>7.9973000000000001</v>
      </c>
      <c r="N1056" s="273">
        <f>ROUND(L1056*M1056,2)</f>
        <v>47.98</v>
      </c>
    </row>
    <row r="1057" spans="2:14" ht="20.100000000000001" customHeight="1">
      <c r="B1057" s="260"/>
      <c r="D1057" s="52" t="s">
        <v>97</v>
      </c>
      <c r="E1057" s="53"/>
      <c r="F1057" s="53"/>
      <c r="G1057" s="53"/>
      <c r="H1057" s="53"/>
      <c r="I1057" s="36"/>
      <c r="J1057" s="54"/>
      <c r="K1057" s="56">
        <v>0.05</v>
      </c>
      <c r="L1057" s="57">
        <f>+N1055+N1056</f>
        <v>74.97999999999999</v>
      </c>
      <c r="M1057" s="55"/>
      <c r="N1057" s="274">
        <f>ROUND(K1057*L1057,2)</f>
        <v>3.75</v>
      </c>
    </row>
    <row r="1058" spans="2:14" ht="20.100000000000001" customHeight="1">
      <c r="D1058" s="58"/>
      <c r="E1058" s="59"/>
      <c r="F1058" s="60"/>
      <c r="G1058" s="60"/>
      <c r="H1058" s="44"/>
      <c r="I1058" s="217"/>
      <c r="J1058" s="61"/>
      <c r="K1058" s="47"/>
      <c r="L1058" s="48"/>
      <c r="M1058" s="62" t="s">
        <v>98</v>
      </c>
      <c r="N1058" s="270">
        <f>SUM(N1055:N1057)</f>
        <v>78.72999999999999</v>
      </c>
    </row>
    <row r="1059" spans="2:14" ht="3.95" customHeight="1">
      <c r="D1059" s="43"/>
      <c r="E1059" s="44"/>
      <c r="F1059" s="44"/>
      <c r="G1059" s="44"/>
      <c r="H1059" s="44"/>
      <c r="I1059" s="217"/>
      <c r="J1059" s="61"/>
      <c r="K1059" s="47"/>
      <c r="L1059" s="48"/>
      <c r="M1059" s="48"/>
      <c r="N1059" s="271"/>
    </row>
    <row r="1060" spans="2:14" ht="20.100000000000001" customHeight="1">
      <c r="D1060" s="40"/>
      <c r="E1060" s="60"/>
      <c r="F1060" s="60"/>
      <c r="G1060" s="60"/>
      <c r="H1060" s="63"/>
      <c r="I1060" s="218"/>
      <c r="J1060" s="63"/>
      <c r="K1060" s="509" t="s">
        <v>99</v>
      </c>
      <c r="L1060" s="510"/>
      <c r="M1060" s="511"/>
      <c r="N1060" s="275">
        <f>+N1052+N1058</f>
        <v>138.14999999999998</v>
      </c>
    </row>
    <row r="1061" spans="2:14" ht="3.95" customHeight="1">
      <c r="D1061" s="64"/>
      <c r="E1061" s="44"/>
      <c r="F1061" s="44"/>
      <c r="G1061" s="45"/>
      <c r="H1061" s="44"/>
      <c r="I1061" s="217"/>
      <c r="J1061" s="46"/>
      <c r="K1061" s="47"/>
      <c r="L1061" s="48"/>
      <c r="M1061" s="48"/>
      <c r="N1061" s="271"/>
    </row>
    <row r="1062" spans="2:14" ht="20.100000000000001" customHeight="1">
      <c r="D1062" s="58"/>
      <c r="E1062" s="509" t="s">
        <v>100</v>
      </c>
      <c r="F1062" s="510"/>
      <c r="G1062" s="510"/>
      <c r="H1062" s="511"/>
      <c r="I1062" s="219">
        <v>10</v>
      </c>
      <c r="J1062" s="48"/>
      <c r="K1062" s="506" t="s">
        <v>101</v>
      </c>
      <c r="L1062" s="507"/>
      <c r="M1062" s="507"/>
      <c r="N1062" s="276">
        <f>ROUND(N1060/I1062,2)</f>
        <v>13.82</v>
      </c>
    </row>
    <row r="1063" spans="2:14" ht="3.95" customHeight="1">
      <c r="D1063" s="43"/>
      <c r="E1063" s="44"/>
      <c r="F1063" s="44"/>
      <c r="G1063" s="65"/>
      <c r="H1063" s="44"/>
      <c r="I1063" s="48"/>
      <c r="J1063" s="46"/>
      <c r="K1063" s="46"/>
      <c r="L1063" s="48"/>
      <c r="M1063" s="46"/>
      <c r="N1063" s="277"/>
    </row>
    <row r="1064" spans="2:14" ht="20.100000000000001" customHeight="1">
      <c r="D1064" s="49" t="s">
        <v>102</v>
      </c>
      <c r="E1064" s="22"/>
      <c r="F1064" s="22"/>
      <c r="G1064" s="22"/>
      <c r="H1064" s="22"/>
      <c r="I1064" s="141"/>
      <c r="J1064" s="23"/>
      <c r="K1064" s="50" t="s">
        <v>103</v>
      </c>
      <c r="L1064" s="51" t="s">
        <v>80</v>
      </c>
      <c r="M1064" s="51" t="s">
        <v>104</v>
      </c>
      <c r="N1064" s="272" t="s">
        <v>105</v>
      </c>
    </row>
    <row r="1065" spans="2:14" ht="20.100000000000001" customHeight="1">
      <c r="B1065" s="260" t="s">
        <v>376</v>
      </c>
      <c r="D1065" s="52" t="str">
        <f>IF(B1065=0,0,VLOOKUP(B1065,MAT,3,FALSE))</f>
        <v>LIMPEZA DE PISTA</v>
      </c>
      <c r="E1065" s="53"/>
      <c r="F1065" s="53"/>
      <c r="G1065" s="53"/>
      <c r="H1065" s="53"/>
      <c r="I1065" s="36"/>
      <c r="J1065" s="54"/>
      <c r="K1065" s="66" t="str">
        <f>IF(B1065=0,0,VLOOKUP(B1065,MAT,5,FALSE))</f>
        <v>M2</v>
      </c>
      <c r="L1065" s="55">
        <f>IF(B1065=0,0,VLOOKUP(B1065,MAT,6,FALSE))</f>
        <v>0.42470000000000002</v>
      </c>
      <c r="M1065" s="433">
        <v>0.05</v>
      </c>
      <c r="N1065" s="273">
        <f>ROUND(L1065*M1065,2)</f>
        <v>0.02</v>
      </c>
    </row>
    <row r="1066" spans="2:14" ht="20.100000000000001" customHeight="1">
      <c r="B1066" s="260" t="s">
        <v>377</v>
      </c>
      <c r="D1066" s="52" t="str">
        <f>IF(B1066=0,0,VLOOKUP(B1066,MAT,3,FALSE))</f>
        <v>PINTURA DE LIGAÇÃO</v>
      </c>
      <c r="E1066" s="53"/>
      <c r="F1066" s="53"/>
      <c r="G1066" s="53"/>
      <c r="H1066" s="53"/>
      <c r="I1066" s="36"/>
      <c r="J1066" s="54"/>
      <c r="K1066" s="66" t="str">
        <f>IF(B1066=0,0,VLOOKUP(B1066,MAT,5,FALSE))</f>
        <v>M2</v>
      </c>
      <c r="L1066" s="55">
        <f>IF(B1066=0,0,VLOOKUP(B1066,MAT,6,FALSE))</f>
        <v>0.60227600000000003</v>
      </c>
      <c r="M1066" s="433">
        <v>1</v>
      </c>
      <c r="N1066" s="273">
        <f>ROUND(L1066*M1066,2)</f>
        <v>0.6</v>
      </c>
    </row>
    <row r="1067" spans="2:14" ht="20.100000000000001" customHeight="1">
      <c r="B1067" s="260" t="s">
        <v>316</v>
      </c>
      <c r="D1067" s="52" t="str">
        <f>IF(B1067=0,0,VLOOKUP(B1067,MAT,3,FALSE))</f>
        <v>MISTURA BETUMINOSA</v>
      </c>
      <c r="E1067" s="53"/>
      <c r="F1067" s="53"/>
      <c r="G1067" s="53"/>
      <c r="H1067" s="53"/>
      <c r="I1067" s="36"/>
      <c r="J1067" s="54"/>
      <c r="K1067" s="66" t="str">
        <f>IF(B1067=0,0,VLOOKUP(B1067,MAT,5,FALSE))</f>
        <v>T</v>
      </c>
      <c r="L1067" s="55">
        <f>IF(B1067=0,0,VLOOKUP(B1067,MAT,6,FALSE))</f>
        <v>65.77427999999999</v>
      </c>
      <c r="M1067" s="433">
        <v>7.1999999999999995E-2</v>
      </c>
      <c r="N1067" s="273">
        <f>ROUND(L1067*M1067,2)</f>
        <v>4.74</v>
      </c>
    </row>
    <row r="1068" spans="2:14" ht="20.100000000000001" customHeight="1">
      <c r="D1068" s="43"/>
      <c r="E1068" s="44"/>
      <c r="F1068" s="44"/>
      <c r="G1068" s="65"/>
      <c r="H1068" s="44"/>
      <c r="I1068" s="48"/>
      <c r="J1068" s="46"/>
      <c r="K1068" s="46"/>
      <c r="L1068" s="48"/>
      <c r="M1068" s="71" t="s">
        <v>106</v>
      </c>
      <c r="N1068" s="270">
        <f>N1065+N1066+N1067</f>
        <v>5.36</v>
      </c>
    </row>
    <row r="1069" spans="2:14" ht="3.95" customHeight="1">
      <c r="D1069" s="43"/>
      <c r="E1069" s="44"/>
      <c r="F1069" s="44"/>
      <c r="G1069" s="65"/>
      <c r="H1069" s="44"/>
      <c r="I1069" s="48"/>
      <c r="J1069" s="46"/>
      <c r="K1069" s="46"/>
      <c r="L1069" s="48"/>
      <c r="M1069" s="46"/>
      <c r="N1069" s="277"/>
    </row>
    <row r="1070" spans="2:14" ht="20.100000000000001" customHeight="1">
      <c r="D1070" s="527" t="s">
        <v>107</v>
      </c>
      <c r="E1070" s="72" t="s">
        <v>2</v>
      </c>
      <c r="F1070" s="73"/>
      <c r="G1070" s="73"/>
      <c r="H1070" s="74"/>
      <c r="I1070" s="498" t="s">
        <v>108</v>
      </c>
      <c r="J1070" s="499"/>
      <c r="K1070" s="531" t="s">
        <v>103</v>
      </c>
      <c r="L1070" s="514" t="s">
        <v>80</v>
      </c>
      <c r="M1070" s="531" t="s">
        <v>109</v>
      </c>
      <c r="N1070" s="529" t="s">
        <v>105</v>
      </c>
    </row>
    <row r="1071" spans="2:14" ht="20.100000000000001" customHeight="1">
      <c r="D1071" s="528"/>
      <c r="E1071" s="512" t="s">
        <v>127</v>
      </c>
      <c r="F1071" s="513"/>
      <c r="G1071" s="512" t="s">
        <v>111</v>
      </c>
      <c r="H1071" s="513"/>
      <c r="I1071" s="500"/>
      <c r="J1071" s="501"/>
      <c r="K1071" s="532"/>
      <c r="L1071" s="515"/>
      <c r="M1071" s="532"/>
      <c r="N1071" s="530"/>
    </row>
    <row r="1072" spans="2:14" ht="20.100000000000001" customHeight="1">
      <c r="B1072" s="260" t="s">
        <v>343</v>
      </c>
      <c r="D1072" s="261" t="str">
        <f>IF(B1072=0,0,VLOOKUP(B1072,TRANS,3,FALSE))</f>
        <v>LOCAL C/ CAM. BASC. ROD. PAV.</v>
      </c>
      <c r="E1072" s="504">
        <f>IF(B1072=0,0,VLOOKUP(B1072,TRANS,5,FALSE))</f>
        <v>0.54</v>
      </c>
      <c r="F1072" s="505"/>
      <c r="G1072" s="502"/>
      <c r="H1072" s="503"/>
      <c r="I1072" s="504">
        <f>IF(B1072=0,0,VLOOKUP(B1072,TRANS,6,FALSE))</f>
        <v>45.53</v>
      </c>
      <c r="J1072" s="505"/>
      <c r="K1072" s="262" t="str">
        <f>IF(B1072=0,0,VLOOKUP(B1072,TRANS,4,FALSE))</f>
        <v>T.KM</v>
      </c>
      <c r="L1072" s="55">
        <f>E1072*I1072</f>
        <v>24.586200000000002</v>
      </c>
      <c r="M1072" s="433">
        <v>7.1999999999999995E-2</v>
      </c>
      <c r="N1072" s="273">
        <f>ROUND(L1072*M1072,2)</f>
        <v>1.77</v>
      </c>
    </row>
    <row r="1073" spans="2:15" ht="20.100000000000001" customHeight="1">
      <c r="B1073" s="260"/>
      <c r="D1073" s="399">
        <f>IF(B1073=0,0,VLOOKUP(B1073,TRANS,3,FALSE))</f>
        <v>0</v>
      </c>
      <c r="E1073" s="588">
        <f>IF(B1073=0,0,VLOOKUP(B1073,TRANS,5,FALSE))</f>
        <v>0</v>
      </c>
      <c r="F1073" s="589"/>
      <c r="G1073" s="590"/>
      <c r="H1073" s="591"/>
      <c r="I1073" s="588"/>
      <c r="J1073" s="589"/>
      <c r="K1073" s="386">
        <f>IF(B1073=0,0,VLOOKUP(B1073,TRANS,4,FALSE))</f>
        <v>0</v>
      </c>
      <c r="L1073" s="402">
        <f>E1073*I1073</f>
        <v>0</v>
      </c>
      <c r="M1073" s="387"/>
      <c r="N1073" s="398">
        <f>ROUND(L1073*M1073,2)</f>
        <v>0</v>
      </c>
    </row>
    <row r="1074" spans="2:15" ht="20.100000000000001" customHeight="1">
      <c r="B1074" s="260"/>
      <c r="D1074" s="399">
        <f>IF(B1074=0,0,VLOOKUP(B1074,TRANS,3,FALSE))</f>
        <v>0</v>
      </c>
      <c r="E1074" s="588">
        <f>IF(B1074=0,0,VLOOKUP(B1074,TRANS,5,FALSE))</f>
        <v>0</v>
      </c>
      <c r="F1074" s="589"/>
      <c r="G1074" s="590"/>
      <c r="H1074" s="591"/>
      <c r="I1074" s="588"/>
      <c r="J1074" s="589"/>
      <c r="K1074" s="386">
        <f>IF(B1074=0,0,VLOOKUP(B1074,TRANS,4,FALSE))</f>
        <v>0</v>
      </c>
      <c r="L1074" s="402">
        <f>E1074*I1074</f>
        <v>0</v>
      </c>
      <c r="M1074" s="387"/>
      <c r="N1074" s="398">
        <f>ROUND(L1074*M1074,2)</f>
        <v>0</v>
      </c>
    </row>
    <row r="1075" spans="2:15" ht="20.100000000000001" customHeight="1">
      <c r="D1075" s="76"/>
      <c r="E1075" s="77"/>
      <c r="F1075" s="44"/>
      <c r="G1075" s="65"/>
      <c r="H1075" s="44"/>
      <c r="I1075" s="48"/>
      <c r="J1075" s="46"/>
      <c r="K1075" s="46"/>
      <c r="L1075" s="48"/>
      <c r="M1075" s="71" t="s">
        <v>112</v>
      </c>
      <c r="N1075" s="270">
        <f>SUM(N1072:N1074)</f>
        <v>1.77</v>
      </c>
    </row>
    <row r="1076" spans="2:15" ht="3.95" customHeight="1">
      <c r="D1076" s="76"/>
      <c r="E1076" s="44"/>
      <c r="F1076" s="65"/>
      <c r="G1076" s="44"/>
      <c r="H1076" s="46"/>
      <c r="I1076" s="48"/>
      <c r="J1076" s="46"/>
      <c r="K1076" s="46"/>
      <c r="L1076" s="48"/>
      <c r="M1076" s="46"/>
      <c r="N1076" s="277"/>
    </row>
    <row r="1077" spans="2:15" ht="20.100000000000001" customHeight="1">
      <c r="D1077" s="40"/>
      <c r="E1077" s="65"/>
      <c r="F1077" s="65"/>
      <c r="G1077" s="65"/>
      <c r="H1077" s="44"/>
      <c r="I1077" s="233"/>
      <c r="J1077" s="143"/>
      <c r="K1077" s="565" t="s">
        <v>129</v>
      </c>
      <c r="L1077" s="566"/>
      <c r="M1077" s="567"/>
      <c r="N1077" s="279">
        <f>+N1062+N1068+N1075</f>
        <v>20.95</v>
      </c>
    </row>
    <row r="1078" spans="2:15" ht="20.100000000000001" customHeight="1">
      <c r="D1078" s="98"/>
      <c r="E1078" s="144"/>
      <c r="F1078" s="46"/>
      <c r="G1078" s="46"/>
      <c r="H1078" s="46"/>
      <c r="I1078" s="48"/>
      <c r="J1078" s="46"/>
      <c r="K1078" s="81" t="s">
        <v>115</v>
      </c>
      <c r="L1078" s="359">
        <f>DI</f>
        <v>0.26700000000000002</v>
      </c>
      <c r="M1078" s="83"/>
      <c r="N1078" s="279">
        <f>L1078*N1077</f>
        <v>5.5936500000000002</v>
      </c>
    </row>
    <row r="1079" spans="2:15" ht="20.100000000000001" customHeight="1" thickBot="1">
      <c r="D1079" s="102"/>
      <c r="E1079" s="145"/>
      <c r="F1079" s="85"/>
      <c r="G1079" s="85"/>
      <c r="H1079" s="85"/>
      <c r="I1079" s="225"/>
      <c r="J1079" s="85"/>
      <c r="K1079" s="86" t="s">
        <v>147</v>
      </c>
      <c r="L1079" s="280"/>
      <c r="M1079" s="89"/>
      <c r="N1079" s="281">
        <f>SUM(N1077:N1078)</f>
        <v>26.54365</v>
      </c>
    </row>
    <row r="1080" spans="2:15" ht="3.95" customHeight="1" thickBot="1"/>
    <row r="1081" spans="2:15" ht="20.100000000000001" customHeight="1">
      <c r="D1081" s="555" t="s">
        <v>131</v>
      </c>
      <c r="E1081" s="556"/>
      <c r="F1081" s="556"/>
      <c r="G1081" s="556"/>
      <c r="H1081" s="556"/>
      <c r="I1081" s="556"/>
      <c r="J1081" s="557"/>
      <c r="K1081" s="146" t="s">
        <v>103</v>
      </c>
      <c r="L1081" s="19" t="s">
        <v>80</v>
      </c>
      <c r="M1081" s="19" t="s">
        <v>104</v>
      </c>
      <c r="N1081" s="297" t="s">
        <v>105</v>
      </c>
    </row>
    <row r="1082" spans="2:15" ht="20.100000000000001" customHeight="1">
      <c r="B1082" s="260" t="s">
        <v>357</v>
      </c>
      <c r="D1082" s="264" t="str">
        <f>IF(B1082=0,0,VLOOKUP(B1082,MAT_BET,3,FALSE))</f>
        <v>AQUISIÇÃO CAP -20</v>
      </c>
      <c r="E1082" s="265"/>
      <c r="F1082" s="265"/>
      <c r="G1082" s="265"/>
      <c r="H1082" s="265"/>
      <c r="I1082" s="265"/>
      <c r="J1082" s="266"/>
      <c r="K1082" s="262" t="str">
        <f>IF(B1082=0,0,VLOOKUP(B1082,MAT_BET,4,FALSE))</f>
        <v>T</v>
      </c>
      <c r="L1082" s="411">
        <f>IF(B1082=0,0,VLOOKUP(B1082,MAT_BET,5,FALSE))</f>
        <v>1132</v>
      </c>
      <c r="M1082" s="433">
        <v>4.3200000000000001E-3</v>
      </c>
      <c r="N1082" s="273">
        <f>ROUND(L1082*M1082,2)</f>
        <v>4.8899999999999997</v>
      </c>
    </row>
    <row r="1083" spans="2:15" ht="20.100000000000001" customHeight="1">
      <c r="B1083" s="260"/>
      <c r="D1083" s="264">
        <f>IF(B1083=0,0,VLOOKUP(B1083,MAT_BET,3,FALSE))</f>
        <v>0</v>
      </c>
      <c r="E1083" s="265"/>
      <c r="F1083" s="265"/>
      <c r="G1083" s="265"/>
      <c r="H1083" s="265"/>
      <c r="I1083" s="265"/>
      <c r="J1083" s="266"/>
      <c r="K1083" s="262">
        <f>IF(B1083=0,0,VLOOKUP(B1083,MAT_BET,4,FALSE))</f>
        <v>0</v>
      </c>
      <c r="L1083" s="267">
        <f>IF(B1083=0,0,VLOOKUP(B1083,MAT_BET,5,FALSE))</f>
        <v>0</v>
      </c>
      <c r="M1083" s="147"/>
      <c r="N1083" s="267">
        <f>ROUND(L1083*M1083,2)</f>
        <v>0</v>
      </c>
      <c r="O1083" s="393"/>
    </row>
    <row r="1084" spans="2:15" ht="20.100000000000001" customHeight="1">
      <c r="B1084" s="260"/>
      <c r="D1084" s="264">
        <f>IF(B1084=0,0,VLOOKUP(B1084,MAT_BET,3,FALSE))</f>
        <v>0</v>
      </c>
      <c r="E1084" s="265"/>
      <c r="F1084" s="265"/>
      <c r="G1084" s="265"/>
      <c r="H1084" s="265"/>
      <c r="I1084" s="265"/>
      <c r="J1084" s="266"/>
      <c r="K1084" s="262">
        <f>IF(B1084=0,0,VLOOKUP(B1084,MAT_BET,4,FALSE))</f>
        <v>0</v>
      </c>
      <c r="L1084" s="267">
        <f>IF(B1084=0,0,VLOOKUP(B1084,MAT_BET,5,FALSE))</f>
        <v>0</v>
      </c>
      <c r="M1084" s="147"/>
      <c r="N1084" s="267">
        <f>ROUND(L1084*M1084,2)</f>
        <v>0</v>
      </c>
      <c r="O1084" s="393">
        <f>SUM(N1082:N1084)</f>
        <v>4.8899999999999997</v>
      </c>
    </row>
    <row r="1085" spans="2:15" ht="20.100000000000001" customHeight="1">
      <c r="D1085" s="114"/>
      <c r="E1085" s="59"/>
      <c r="F1085" s="59"/>
      <c r="G1085" s="59"/>
      <c r="H1085" s="59"/>
      <c r="I1085" s="91"/>
      <c r="J1085" s="115"/>
      <c r="K1085" s="81" t="s">
        <v>115</v>
      </c>
      <c r="L1085" s="359">
        <f>DI</f>
        <v>0.26700000000000002</v>
      </c>
      <c r="M1085" s="83"/>
      <c r="N1085" s="279">
        <f>(N1082+N1083+N1084)*L1085</f>
        <v>1.3056300000000001</v>
      </c>
    </row>
    <row r="1086" spans="2:15" ht="20.100000000000001" customHeight="1">
      <c r="D1086" s="76"/>
      <c r="E1086" s="77"/>
      <c r="F1086" s="77"/>
      <c r="G1086" s="77"/>
      <c r="H1086" s="77"/>
      <c r="I1086" s="156"/>
      <c r="J1086" s="116"/>
      <c r="K1086" s="81" t="s">
        <v>2</v>
      </c>
      <c r="L1086" s="289"/>
      <c r="M1086" s="83"/>
      <c r="N1086" s="279">
        <f>SUM(N1082:N1085)</f>
        <v>6.1956299999999995</v>
      </c>
    </row>
    <row r="1087" spans="2:15" ht="20.100000000000001" customHeight="1">
      <c r="D1087" s="117"/>
      <c r="E1087" s="118"/>
      <c r="F1087" s="118"/>
      <c r="G1087" s="118"/>
      <c r="H1087" s="118"/>
      <c r="I1087" s="94"/>
      <c r="J1087" s="119"/>
      <c r="K1087" s="113" t="s">
        <v>103</v>
      </c>
      <c r="L1087" s="34" t="s">
        <v>80</v>
      </c>
      <c r="M1087" s="34" t="s">
        <v>104</v>
      </c>
      <c r="N1087" s="288" t="s">
        <v>105</v>
      </c>
    </row>
    <row r="1088" spans="2:15" ht="19.5" customHeight="1">
      <c r="B1088" s="260" t="s">
        <v>363</v>
      </c>
      <c r="D1088" s="264" t="str">
        <f>IF(B1088=0,0,VLOOKUP(B1088,MAT_BET,3,FALSE))</f>
        <v>TRANSPORTE CAP - 20</v>
      </c>
      <c r="E1088" s="265"/>
      <c r="F1088" s="265"/>
      <c r="G1088" s="265"/>
      <c r="H1088" s="265"/>
      <c r="I1088" s="265"/>
      <c r="J1088" s="266"/>
      <c r="K1088" s="262" t="str">
        <f>IF(B1088=0,0,VLOOKUP(B1088,MAT_BET,4,FALSE))</f>
        <v>T</v>
      </c>
      <c r="L1088" s="411">
        <f>IF(B1088=0,0,VLOOKUP(B1088,MAT_BET,5,FALSE))</f>
        <v>230.69</v>
      </c>
      <c r="M1088" s="433">
        <v>4.3200000000000001E-3</v>
      </c>
      <c r="N1088" s="278">
        <f>(L1088*M1088)</f>
        <v>0.99658080000000004</v>
      </c>
    </row>
    <row r="1089" spans="2:15" ht="20.100000000000001" customHeight="1">
      <c r="B1089" s="260"/>
      <c r="D1089" s="264">
        <f>IF(B1089=0,0,VLOOKUP(B1089,MAT_BET,3,FALSE))</f>
        <v>0</v>
      </c>
      <c r="E1089" s="265"/>
      <c r="F1089" s="265"/>
      <c r="G1089" s="265"/>
      <c r="H1089" s="265"/>
      <c r="I1089" s="265"/>
      <c r="J1089" s="266"/>
      <c r="K1089" s="262">
        <f>IF(B1089=0,0,VLOOKUP(B1089,MAT_BET,4,FALSE))</f>
        <v>0</v>
      </c>
      <c r="L1089" s="267">
        <f>IF(B1089=0,0,VLOOKUP(B1089,MAT_BET,5,FALSE))</f>
        <v>0</v>
      </c>
      <c r="M1089" s="147"/>
      <c r="N1089" s="267">
        <f>(L1089*M1089)</f>
        <v>0</v>
      </c>
      <c r="O1089" s="393"/>
    </row>
    <row r="1090" spans="2:15" ht="20.100000000000001" customHeight="1">
      <c r="B1090" s="260"/>
      <c r="D1090" s="264">
        <f>IF(B1090=0,0,VLOOKUP(B1090,MAT_BET,3,FALSE))</f>
        <v>0</v>
      </c>
      <c r="E1090" s="265"/>
      <c r="F1090" s="265"/>
      <c r="G1090" s="265"/>
      <c r="H1090" s="265"/>
      <c r="I1090" s="265"/>
      <c r="J1090" s="266"/>
      <c r="K1090" s="262">
        <f>IF(B1090=0,0,VLOOKUP(B1090,MAT_BET,4,FALSE))</f>
        <v>0</v>
      </c>
      <c r="L1090" s="267">
        <f>IF(B1090=0,0,VLOOKUP(B1090,MAT_BET,5,FALSE))</f>
        <v>0</v>
      </c>
      <c r="M1090" s="147"/>
      <c r="N1090" s="267">
        <f>(L1090*M1090)</f>
        <v>0</v>
      </c>
      <c r="O1090" s="393">
        <f>SUM(N1088:N1090)</f>
        <v>0.99658080000000004</v>
      </c>
    </row>
    <row r="1091" spans="2:15" ht="20.100000000000001" customHeight="1">
      <c r="D1091" s="114"/>
      <c r="E1091" s="59"/>
      <c r="F1091" s="59"/>
      <c r="G1091" s="59"/>
      <c r="H1091" s="59"/>
      <c r="I1091" s="91"/>
      <c r="J1091" s="115"/>
      <c r="K1091" s="81" t="s">
        <v>115</v>
      </c>
      <c r="L1091" s="359">
        <f>DI</f>
        <v>0.26700000000000002</v>
      </c>
      <c r="M1091" s="83"/>
      <c r="N1091" s="279">
        <f>(N1088+N1089+N1090)*L1091</f>
        <v>0.2660870736</v>
      </c>
    </row>
    <row r="1092" spans="2:15" ht="20.100000000000001" customHeight="1" thickBot="1">
      <c r="D1092" s="76"/>
      <c r="E1092" s="77"/>
      <c r="F1092" s="77"/>
      <c r="G1092" s="77"/>
      <c r="H1092" s="77"/>
      <c r="I1092" s="156"/>
      <c r="J1092" s="116"/>
      <c r="K1092" s="97" t="s">
        <v>148</v>
      </c>
      <c r="L1092" s="290"/>
      <c r="M1092" s="120"/>
      <c r="N1092" s="291">
        <f>SUM(N1088:N1091)</f>
        <v>1.2626678736000001</v>
      </c>
    </row>
    <row r="1093" spans="2:15" ht="20.100000000000001" customHeight="1" thickBot="1">
      <c r="D1093" s="121"/>
      <c r="E1093" s="122"/>
      <c r="F1093" s="122"/>
      <c r="G1093" s="123"/>
      <c r="H1093" s="122"/>
      <c r="I1093" s="227"/>
      <c r="J1093" s="124"/>
      <c r="K1093" s="549" t="s">
        <v>134</v>
      </c>
      <c r="L1093" s="549"/>
      <c r="M1093" s="550"/>
      <c r="N1093" s="292">
        <f>N1086+N1092</f>
        <v>7.4582978735999994</v>
      </c>
    </row>
    <row r="1094" spans="2:15" ht="3.95" customHeight="1" thickBot="1">
      <c r="D1094" s="98"/>
      <c r="E1094" s="99"/>
      <c r="F1094" s="44"/>
      <c r="G1094" s="65"/>
      <c r="H1094" s="44"/>
      <c r="I1094" s="48"/>
      <c r="J1094" s="46"/>
      <c r="K1094" s="46"/>
      <c r="L1094" s="48"/>
      <c r="M1094" s="100"/>
      <c r="N1094" s="282"/>
    </row>
    <row r="1095" spans="2:15" ht="20.100000000000001" customHeight="1">
      <c r="D1095" s="126"/>
      <c r="E1095" s="108"/>
      <c r="F1095" s="108"/>
      <c r="G1095" s="109"/>
      <c r="H1095" s="108"/>
      <c r="I1095" s="127" t="s">
        <v>114</v>
      </c>
      <c r="J1095" s="128"/>
      <c r="K1095" s="128"/>
      <c r="L1095" s="354">
        <v>0.02</v>
      </c>
      <c r="M1095" s="129"/>
      <c r="N1095" s="294">
        <f>(N1077+O1084+O1090)*L1095</f>
        <v>0.53673161599999997</v>
      </c>
    </row>
    <row r="1096" spans="2:15" ht="20.100000000000001" customHeight="1" thickBot="1">
      <c r="D1096" s="130"/>
      <c r="E1096" s="104"/>
      <c r="F1096" s="104"/>
      <c r="G1096" s="105"/>
      <c r="H1096" s="104"/>
      <c r="I1096" s="547" t="s">
        <v>149</v>
      </c>
      <c r="J1096" s="548"/>
      <c r="K1096" s="548"/>
      <c r="L1096" s="548"/>
      <c r="M1096" s="131"/>
      <c r="N1096" s="295">
        <f>(N1077+O1084+O1090)+N1095</f>
        <v>27.373312416000001</v>
      </c>
    </row>
    <row r="1097" spans="2:15" ht="3.95" customHeight="1">
      <c r="D1097" s="98"/>
      <c r="E1097" s="99"/>
      <c r="F1097" s="44"/>
      <c r="G1097" s="65"/>
      <c r="H1097" s="44"/>
      <c r="I1097" s="355"/>
      <c r="J1097" s="355"/>
      <c r="K1097" s="355"/>
      <c r="L1097" s="355"/>
      <c r="M1097" s="100"/>
      <c r="N1097" s="282"/>
    </row>
    <row r="1098" spans="2:15" ht="20.100000000000001" customHeight="1" thickBot="1">
      <c r="D1098" s="137"/>
      <c r="E1098" s="138"/>
      <c r="F1098" s="138"/>
      <c r="G1098" s="138"/>
      <c r="H1098" s="138"/>
      <c r="I1098" s="356" t="s">
        <v>150</v>
      </c>
      <c r="J1098" s="357"/>
      <c r="K1098" s="357"/>
      <c r="L1098" s="358">
        <f>DI</f>
        <v>0.26700000000000002</v>
      </c>
      <c r="M1098" s="140"/>
      <c r="N1098" s="295">
        <f>(L1098*N1096)+N1096</f>
        <v>34.681986831072003</v>
      </c>
    </row>
    <row r="1099" spans="2:15" ht="20.100000000000001" customHeight="1">
      <c r="D1099" s="161"/>
      <c r="E1099" s="161"/>
      <c r="F1099" s="161"/>
      <c r="G1099" s="161"/>
      <c r="H1099" s="161"/>
      <c r="I1099" s="163"/>
      <c r="J1099" s="154"/>
      <c r="K1099" s="168"/>
      <c r="L1099" s="313"/>
      <c r="M1099" s="314"/>
      <c r="N1099" s="315"/>
    </row>
    <row r="1100" spans="2:15" ht="20.100000000000001" customHeight="1">
      <c r="D1100" s="161"/>
      <c r="E1100" s="161"/>
      <c r="F1100" s="161"/>
      <c r="G1100" s="161"/>
      <c r="H1100" s="161"/>
      <c r="I1100" s="163"/>
      <c r="J1100" s="154"/>
      <c r="K1100" s="168"/>
      <c r="L1100" s="313"/>
      <c r="M1100" s="314"/>
      <c r="N1100" s="315"/>
    </row>
    <row r="1101" spans="2:15" ht="20.100000000000001" customHeight="1" thickBot="1"/>
    <row r="1102" spans="2:15" ht="20.100000000000001" customHeight="1">
      <c r="B1102" s="197" t="s">
        <v>203</v>
      </c>
      <c r="D1102" s="520"/>
      <c r="E1102" s="521"/>
      <c r="F1102" s="524" t="s">
        <v>74</v>
      </c>
      <c r="G1102" s="525"/>
      <c r="H1102" s="525"/>
      <c r="I1102" s="525"/>
      <c r="J1102" s="525"/>
      <c r="K1102" s="525"/>
      <c r="L1102" s="526"/>
      <c r="M1102" s="19" t="s">
        <v>75</v>
      </c>
      <c r="N1102" s="20" t="s">
        <v>76</v>
      </c>
    </row>
    <row r="1103" spans="2:15" ht="20.100000000000001" customHeight="1">
      <c r="D1103" s="522"/>
      <c r="E1103" s="523"/>
      <c r="F1103" s="512" t="str">
        <f>VLOOKUP(B1102,Resumo_Composições,3,FALSE)</f>
        <v>REGULARIZAÇÃO DO SUBLEITO</v>
      </c>
      <c r="G1103" s="519"/>
      <c r="H1103" s="519"/>
      <c r="I1103" s="519"/>
      <c r="J1103" s="519"/>
      <c r="K1103" s="519"/>
      <c r="L1103" s="513"/>
      <c r="M1103" s="24" t="str">
        <f>VLOOKUP(B1102,Resumo_Composições,4,FALSE)</f>
        <v>M2</v>
      </c>
      <c r="N1103" s="25">
        <f>DATA</f>
        <v>41214</v>
      </c>
    </row>
    <row r="1104" spans="2:15" ht="20.100000000000001" customHeight="1">
      <c r="D1104" s="26" t="s">
        <v>77</v>
      </c>
      <c r="E1104" s="27"/>
      <c r="F1104" s="27"/>
      <c r="G1104" s="27"/>
      <c r="H1104" s="28"/>
      <c r="I1104" s="214" t="s">
        <v>78</v>
      </c>
      <c r="J1104" s="509" t="s">
        <v>79</v>
      </c>
      <c r="K1104" s="511"/>
      <c r="L1104" s="535" t="s">
        <v>80</v>
      </c>
      <c r="M1104" s="536"/>
      <c r="N1104" s="516" t="s">
        <v>81</v>
      </c>
    </row>
    <row r="1105" spans="2:14" ht="20.100000000000001" customHeight="1">
      <c r="D1105" s="31"/>
      <c r="E1105" s="32"/>
      <c r="F1105" s="32"/>
      <c r="G1105" s="32"/>
      <c r="H1105" s="33"/>
      <c r="I1105" s="34"/>
      <c r="J1105" s="51" t="s">
        <v>82</v>
      </c>
      <c r="K1105" s="51" t="s">
        <v>83</v>
      </c>
      <c r="L1105" s="51" t="s">
        <v>82</v>
      </c>
      <c r="M1105" s="51" t="s">
        <v>84</v>
      </c>
      <c r="N1105" s="517"/>
    </row>
    <row r="1106" spans="2:14" ht="20.100000000000001" customHeight="1">
      <c r="B1106" s="260" t="s">
        <v>281</v>
      </c>
      <c r="D1106" s="35" t="str">
        <f t="shared" ref="D1106:D1111" si="59">IF(B1106=0,0,VLOOKUP(B1106,EQUIP,3,FALSE))</f>
        <v>MOTONIVELADORA - 93 KW</v>
      </c>
      <c r="E1106" s="36"/>
      <c r="F1106" s="36"/>
      <c r="G1106" s="36"/>
      <c r="H1106" s="37"/>
      <c r="I1106" s="215">
        <v>1</v>
      </c>
      <c r="J1106" s="38">
        <v>0.55000000000000004</v>
      </c>
      <c r="K1106" s="38">
        <f t="shared" ref="K1106:K1111" si="60">1-J1106</f>
        <v>0.44999999999999996</v>
      </c>
      <c r="L1106" s="215">
        <f t="shared" ref="L1106:L1111" si="61">IF(B1106=0,0,VLOOKUP(B1106,EQUIP,6,FALSE))</f>
        <v>153.06</v>
      </c>
      <c r="M1106" s="38">
        <f t="shared" ref="M1106:M1111" si="62">IF(B1106=0,0,VLOOKUP(B1106,EQUIP,7,FALSE))</f>
        <v>22.39</v>
      </c>
      <c r="N1106" s="269">
        <f t="shared" ref="N1106:N1111" si="63">ROUND(I1106*J1106*L1106+I1106*K1106*M1106,2)</f>
        <v>94.26</v>
      </c>
    </row>
    <row r="1107" spans="2:14" ht="20.100000000000001" customHeight="1">
      <c r="B1107" s="260" t="s">
        <v>292</v>
      </c>
      <c r="D1107" s="35" t="str">
        <f t="shared" si="59"/>
        <v>TRATOR AGRICOLA (77 KW)</v>
      </c>
      <c r="E1107" s="36"/>
      <c r="F1107" s="36"/>
      <c r="G1107" s="36"/>
      <c r="H1107" s="37"/>
      <c r="I1107" s="55">
        <v>1</v>
      </c>
      <c r="J1107" s="39">
        <v>0.52</v>
      </c>
      <c r="K1107" s="38">
        <f t="shared" si="60"/>
        <v>0.48</v>
      </c>
      <c r="L1107" s="215">
        <f t="shared" si="61"/>
        <v>65.799899999999994</v>
      </c>
      <c r="M1107" s="38">
        <f t="shared" si="62"/>
        <v>17.27</v>
      </c>
      <c r="N1107" s="269">
        <f t="shared" si="63"/>
        <v>42.51</v>
      </c>
    </row>
    <row r="1108" spans="2:14" ht="20.100000000000001" customHeight="1">
      <c r="B1108" s="260" t="s">
        <v>287</v>
      </c>
      <c r="D1108" s="35" t="str">
        <f t="shared" si="59"/>
        <v>ROLO COMPACTADOR PÉ DE CARNEIRO VIBRATORIO 11,25 t ( 85 KW)</v>
      </c>
      <c r="E1108" s="36"/>
      <c r="F1108" s="36"/>
      <c r="G1108" s="36"/>
      <c r="H1108" s="37"/>
      <c r="I1108" s="215">
        <v>1</v>
      </c>
      <c r="J1108" s="38">
        <v>1</v>
      </c>
      <c r="K1108" s="38">
        <f t="shared" si="60"/>
        <v>0</v>
      </c>
      <c r="L1108" s="215">
        <f t="shared" si="61"/>
        <v>113.04</v>
      </c>
      <c r="M1108" s="38">
        <f t="shared" si="62"/>
        <v>17.27</v>
      </c>
      <c r="N1108" s="269">
        <f t="shared" si="63"/>
        <v>113.04</v>
      </c>
    </row>
    <row r="1109" spans="2:14" ht="20.100000000000001" customHeight="1">
      <c r="B1109" s="260" t="s">
        <v>278</v>
      </c>
      <c r="D1109" s="35" t="str">
        <f t="shared" si="59"/>
        <v>GRADE DE DISCO - GA 24 x 24</v>
      </c>
      <c r="E1109" s="36"/>
      <c r="F1109" s="36"/>
      <c r="G1109" s="36"/>
      <c r="H1109" s="37"/>
      <c r="I1109" s="55">
        <v>1</v>
      </c>
      <c r="J1109" s="39">
        <v>0.52</v>
      </c>
      <c r="K1109" s="38">
        <f t="shared" si="60"/>
        <v>0.48</v>
      </c>
      <c r="L1109" s="215">
        <f t="shared" si="61"/>
        <v>2.58</v>
      </c>
      <c r="M1109" s="38">
        <f t="shared" si="62"/>
        <v>0</v>
      </c>
      <c r="N1109" s="269">
        <f t="shared" si="63"/>
        <v>1.34</v>
      </c>
    </row>
    <row r="1110" spans="2:14" ht="20.100000000000001" customHeight="1">
      <c r="B1110" s="260" t="s">
        <v>285</v>
      </c>
      <c r="D1110" s="35" t="str">
        <f t="shared" si="59"/>
        <v>ROLO COMPACTADOR DE PNEUS 21 t (97 KW)</v>
      </c>
      <c r="E1110" s="36"/>
      <c r="F1110" s="36"/>
      <c r="G1110" s="36"/>
      <c r="H1110" s="37"/>
      <c r="I1110" s="55">
        <v>1</v>
      </c>
      <c r="J1110" s="39">
        <v>0.78</v>
      </c>
      <c r="K1110" s="38">
        <f t="shared" si="60"/>
        <v>0.21999999999999997</v>
      </c>
      <c r="L1110" s="215">
        <f t="shared" si="61"/>
        <v>96.39</v>
      </c>
      <c r="M1110" s="38">
        <f t="shared" si="62"/>
        <v>17.27</v>
      </c>
      <c r="N1110" s="269">
        <f t="shared" si="63"/>
        <v>78.98</v>
      </c>
    </row>
    <row r="1111" spans="2:14" ht="20.100000000000001" customHeight="1">
      <c r="B1111" s="260" t="s">
        <v>265</v>
      </c>
      <c r="D1111" s="35" t="str">
        <f t="shared" si="59"/>
        <v>CAMINHÃO TANQUE 10.000 l</v>
      </c>
      <c r="E1111" s="36"/>
      <c r="F1111" s="36"/>
      <c r="G1111" s="36"/>
      <c r="H1111" s="37"/>
      <c r="I1111" s="55">
        <v>1</v>
      </c>
      <c r="J1111" s="38">
        <v>0.98</v>
      </c>
      <c r="K1111" s="38">
        <f t="shared" si="60"/>
        <v>2.0000000000000018E-2</v>
      </c>
      <c r="L1111" s="215">
        <f t="shared" si="61"/>
        <v>126.87</v>
      </c>
      <c r="M1111" s="38">
        <f t="shared" si="62"/>
        <v>20.47</v>
      </c>
      <c r="N1111" s="269">
        <f t="shared" si="63"/>
        <v>124.74</v>
      </c>
    </row>
    <row r="1112" spans="2:14" ht="20.100000000000001" customHeight="1">
      <c r="D1112" s="155"/>
      <c r="E1112" s="156"/>
      <c r="F1112" s="156"/>
      <c r="G1112" s="156"/>
      <c r="H1112" s="156"/>
      <c r="I1112" s="235"/>
      <c r="J1112" s="157"/>
      <c r="K1112" s="157"/>
      <c r="L1112" s="216"/>
      <c r="M1112" s="42" t="s">
        <v>89</v>
      </c>
      <c r="N1112" s="270">
        <f>SUM(N1106:N1111)</f>
        <v>454.87</v>
      </c>
    </row>
    <row r="1113" spans="2:14" ht="3.95" customHeight="1">
      <c r="D1113" s="158"/>
      <c r="E1113" s="159"/>
      <c r="F1113" s="159"/>
      <c r="G1113" s="160"/>
      <c r="H1113" s="159"/>
      <c r="I1113" s="236"/>
      <c r="J1113" s="161"/>
      <c r="K1113" s="162"/>
      <c r="L1113" s="163"/>
      <c r="M1113" s="163"/>
      <c r="N1113" s="300"/>
    </row>
    <row r="1114" spans="2:14" ht="20.100000000000001" customHeight="1">
      <c r="D1114" s="518" t="s">
        <v>90</v>
      </c>
      <c r="E1114" s="519"/>
      <c r="F1114" s="519"/>
      <c r="G1114" s="519"/>
      <c r="H1114" s="519"/>
      <c r="I1114" s="519"/>
      <c r="J1114" s="513"/>
      <c r="K1114" s="50" t="s">
        <v>91</v>
      </c>
      <c r="L1114" s="51" t="s">
        <v>92</v>
      </c>
      <c r="M1114" s="51" t="s">
        <v>93</v>
      </c>
      <c r="N1114" s="272" t="s">
        <v>94</v>
      </c>
    </row>
    <row r="1115" spans="2:14" ht="20.100000000000001" customHeight="1">
      <c r="B1115" s="260" t="s">
        <v>250</v>
      </c>
      <c r="D1115" s="52" t="str">
        <f>IF(B1115=0,0,VLOOKUP(B1115,MO,2,FALSE))</f>
        <v>ENCARREGADO DE PAVIMENTAÇÃO</v>
      </c>
      <c r="E1115" s="53"/>
      <c r="F1115" s="53"/>
      <c r="G1115" s="53"/>
      <c r="H1115" s="53"/>
      <c r="I1115" s="36"/>
      <c r="J1115" s="54"/>
      <c r="K1115" s="152"/>
      <c r="L1115" s="164">
        <v>1</v>
      </c>
      <c r="M1115" s="55">
        <f>IF(B1115=0,0,VLOOKUP(B1115,MO,6,FALSE))</f>
        <v>44.786799999999999</v>
      </c>
      <c r="N1115" s="301">
        <f>ROUND(L1115*M1115,2)</f>
        <v>44.79</v>
      </c>
    </row>
    <row r="1116" spans="2:14" ht="20.100000000000001" customHeight="1">
      <c r="B1116" s="260" t="s">
        <v>248</v>
      </c>
      <c r="D1116" s="52" t="str">
        <f>IF(B1116=0,0,VLOOKUP(B1116,MO,2,FALSE))</f>
        <v>SERVENTE</v>
      </c>
      <c r="E1116" s="53"/>
      <c r="F1116" s="53"/>
      <c r="G1116" s="53"/>
      <c r="H1116" s="53"/>
      <c r="I1116" s="36"/>
      <c r="J1116" s="54"/>
      <c r="K1116" s="152"/>
      <c r="L1116" s="164">
        <v>3</v>
      </c>
      <c r="M1116" s="55">
        <f>IF(B1116=0,0,VLOOKUP(B1116,MO,6,FALSE))</f>
        <v>7.9973000000000001</v>
      </c>
      <c r="N1116" s="301">
        <f>ROUND(L1116*M1116,2)</f>
        <v>23.99</v>
      </c>
    </row>
    <row r="1117" spans="2:14" ht="20.100000000000001" customHeight="1">
      <c r="B1117" s="260"/>
      <c r="D1117" s="52" t="s">
        <v>122</v>
      </c>
      <c r="E1117" s="53"/>
      <c r="F1117" s="53"/>
      <c r="G1117" s="53"/>
      <c r="H1117" s="53"/>
      <c r="I1117" s="36"/>
      <c r="J1117" s="54"/>
      <c r="K1117" s="165">
        <v>0</v>
      </c>
      <c r="L1117" s="166">
        <f>N1115+N1116</f>
        <v>68.78</v>
      </c>
      <c r="M1117" s="164"/>
      <c r="N1117" s="316">
        <f>ROUND(L1117*K1117,2)</f>
        <v>0</v>
      </c>
    </row>
    <row r="1118" spans="2:14" ht="20.100000000000001" customHeight="1">
      <c r="D1118" s="167"/>
      <c r="E1118" s="59"/>
      <c r="F1118" s="168"/>
      <c r="G1118" s="168"/>
      <c r="H1118" s="159"/>
      <c r="I1118" s="236"/>
      <c r="J1118" s="169"/>
      <c r="K1118" s="162"/>
      <c r="L1118" s="163"/>
      <c r="M1118" s="62" t="s">
        <v>98</v>
      </c>
      <c r="N1118" s="302">
        <f>SUM(N1115:N1117)</f>
        <v>68.78</v>
      </c>
    </row>
    <row r="1119" spans="2:14" ht="3.95" customHeight="1">
      <c r="D1119" s="158"/>
      <c r="E1119" s="159"/>
      <c r="F1119" s="159"/>
      <c r="G1119" s="159"/>
      <c r="H1119" s="159"/>
      <c r="I1119" s="236"/>
      <c r="J1119" s="169"/>
      <c r="K1119" s="162"/>
      <c r="L1119" s="163"/>
      <c r="M1119" s="163"/>
      <c r="N1119" s="300"/>
    </row>
    <row r="1120" spans="2:14" ht="20.100000000000001" customHeight="1">
      <c r="D1120" s="170"/>
      <c r="E1120" s="168"/>
      <c r="F1120" s="168"/>
      <c r="G1120" s="168"/>
      <c r="H1120" s="171"/>
      <c r="I1120" s="237"/>
      <c r="J1120" s="171"/>
      <c r="K1120" s="509" t="s">
        <v>99</v>
      </c>
      <c r="L1120" s="510"/>
      <c r="M1120" s="511"/>
      <c r="N1120" s="303">
        <f>+N1112+N1118</f>
        <v>523.65</v>
      </c>
    </row>
    <row r="1121" spans="2:14" ht="3.95" customHeight="1">
      <c r="D1121" s="172"/>
      <c r="E1121" s="159"/>
      <c r="F1121" s="159"/>
      <c r="G1121" s="160"/>
      <c r="H1121" s="159"/>
      <c r="I1121" s="236"/>
      <c r="J1121" s="161"/>
      <c r="K1121" s="162"/>
      <c r="L1121" s="163"/>
      <c r="M1121" s="163"/>
      <c r="N1121" s="300"/>
    </row>
    <row r="1122" spans="2:14" ht="20.100000000000001" customHeight="1">
      <c r="D1122" s="167"/>
      <c r="E1122" s="509" t="s">
        <v>100</v>
      </c>
      <c r="F1122" s="510"/>
      <c r="G1122" s="510"/>
      <c r="H1122" s="511"/>
      <c r="I1122" s="238">
        <v>841</v>
      </c>
      <c r="J1122" s="163"/>
      <c r="K1122" s="506" t="s">
        <v>101</v>
      </c>
      <c r="L1122" s="507"/>
      <c r="M1122" s="507"/>
      <c r="N1122" s="382">
        <f>ROUND(N1120/I1122,2)</f>
        <v>0.62</v>
      </c>
    </row>
    <row r="1123" spans="2:14" ht="3.95" customHeight="1">
      <c r="D1123" s="158"/>
      <c r="E1123" s="159"/>
      <c r="F1123" s="159"/>
      <c r="G1123" s="173"/>
      <c r="H1123" s="159"/>
      <c r="I1123" s="163"/>
      <c r="J1123" s="161"/>
      <c r="K1123" s="161"/>
      <c r="L1123" s="163"/>
      <c r="M1123" s="161"/>
      <c r="N1123" s="305"/>
    </row>
    <row r="1124" spans="2:14" ht="20.100000000000001" customHeight="1">
      <c r="D1124" s="49" t="s">
        <v>102</v>
      </c>
      <c r="E1124" s="22"/>
      <c r="F1124" s="22"/>
      <c r="G1124" s="22"/>
      <c r="H1124" s="22"/>
      <c r="I1124" s="141"/>
      <c r="J1124" s="23"/>
      <c r="K1124" s="50" t="s">
        <v>103</v>
      </c>
      <c r="L1124" s="51" t="s">
        <v>80</v>
      </c>
      <c r="M1124" s="51" t="s">
        <v>104</v>
      </c>
      <c r="N1124" s="272" t="s">
        <v>105</v>
      </c>
    </row>
    <row r="1125" spans="2:14" ht="20.100000000000001" customHeight="1">
      <c r="B1125" s="260"/>
      <c r="D1125" s="264">
        <f>IF(B1125=0,0,VLOOKUP(B1125,MAT,3,FALSE))</f>
        <v>0</v>
      </c>
      <c r="E1125" s="265"/>
      <c r="F1125" s="265"/>
      <c r="G1125" s="265"/>
      <c r="H1125" s="265"/>
      <c r="I1125" s="265"/>
      <c r="J1125" s="266"/>
      <c r="K1125" s="262">
        <f>IF(B1125=0,0,VLOOKUP(B1125,MAT,5,FALSE))</f>
        <v>0</v>
      </c>
      <c r="L1125" s="267">
        <f>IF(B1125=0,0,VLOOKUP(B1125,MAT,6,FALSE))</f>
        <v>0</v>
      </c>
      <c r="M1125" s="174"/>
      <c r="N1125" s="316">
        <f>ROUND(L1125*M1125,2)</f>
        <v>0</v>
      </c>
    </row>
    <row r="1126" spans="2:14" ht="20.100000000000001" customHeight="1">
      <c r="B1126" s="260"/>
      <c r="D1126" s="264">
        <f>IF(B1126=0,0,VLOOKUP(B1126,MAT,3,FALSE))</f>
        <v>0</v>
      </c>
      <c r="E1126" s="265"/>
      <c r="F1126" s="265"/>
      <c r="G1126" s="265"/>
      <c r="H1126" s="265"/>
      <c r="I1126" s="265"/>
      <c r="J1126" s="266"/>
      <c r="K1126" s="262">
        <f>IF(B1126=0,0,VLOOKUP(B1126,MAT,5,FALSE))</f>
        <v>0</v>
      </c>
      <c r="L1126" s="267">
        <f>IF(B1126=0,0,VLOOKUP(B1126,MAT,6,FALSE))</f>
        <v>0</v>
      </c>
      <c r="M1126" s="174"/>
      <c r="N1126" s="316">
        <f>ROUND(L1126*M1126,2)</f>
        <v>0</v>
      </c>
    </row>
    <row r="1127" spans="2:14" ht="20.100000000000001" customHeight="1">
      <c r="B1127" s="260"/>
      <c r="D1127" s="264">
        <f>IF(B1127=0,0,VLOOKUP(B1127,MAT,3,FALSE))</f>
        <v>0</v>
      </c>
      <c r="E1127" s="265"/>
      <c r="F1127" s="265"/>
      <c r="G1127" s="265"/>
      <c r="H1127" s="265"/>
      <c r="I1127" s="265"/>
      <c r="J1127" s="266"/>
      <c r="K1127" s="262">
        <f>IF(B1127=0,0,VLOOKUP(B1127,MAT,5,FALSE))</f>
        <v>0</v>
      </c>
      <c r="L1127" s="267">
        <f>IF(B1127=0,0,VLOOKUP(B1127,MAT,6,FALSE))</f>
        <v>0</v>
      </c>
      <c r="M1127" s="174"/>
      <c r="N1127" s="316">
        <f>ROUND(L1127*M1127,2)</f>
        <v>0</v>
      </c>
    </row>
    <row r="1128" spans="2:14" ht="20.100000000000001" customHeight="1">
      <c r="D1128" s="158"/>
      <c r="E1128" s="159"/>
      <c r="F1128" s="159"/>
      <c r="G1128" s="173"/>
      <c r="H1128" s="159"/>
      <c r="I1128" s="163"/>
      <c r="J1128" s="161"/>
      <c r="K1128" s="161"/>
      <c r="L1128" s="163"/>
      <c r="M1128" s="71" t="s">
        <v>106</v>
      </c>
      <c r="N1128" s="437">
        <f>SUM(N1125:N1127)</f>
        <v>0</v>
      </c>
    </row>
    <row r="1129" spans="2:14" ht="20.100000000000001" customHeight="1">
      <c r="D1129" s="158"/>
      <c r="E1129" s="159"/>
      <c r="F1129" s="159"/>
      <c r="G1129" s="173"/>
      <c r="H1129" s="159"/>
      <c r="I1129" s="163"/>
      <c r="J1129" s="161"/>
      <c r="K1129" s="161"/>
      <c r="L1129" s="163"/>
      <c r="M1129" s="161"/>
      <c r="N1129" s="305"/>
    </row>
    <row r="1130" spans="2:14" ht="20.100000000000001" customHeight="1">
      <c r="D1130" s="527" t="s">
        <v>107</v>
      </c>
      <c r="E1130" s="72" t="s">
        <v>2</v>
      </c>
      <c r="F1130" s="73"/>
      <c r="G1130" s="73"/>
      <c r="H1130" s="74"/>
      <c r="I1130" s="498" t="s">
        <v>108</v>
      </c>
      <c r="J1130" s="499"/>
      <c r="K1130" s="531" t="s">
        <v>103</v>
      </c>
      <c r="L1130" s="514" t="s">
        <v>80</v>
      </c>
      <c r="M1130" s="531" t="s">
        <v>109</v>
      </c>
      <c r="N1130" s="529" t="s">
        <v>105</v>
      </c>
    </row>
    <row r="1131" spans="2:14" ht="20.100000000000001" customHeight="1">
      <c r="D1131" s="528"/>
      <c r="E1131" s="512" t="s">
        <v>110</v>
      </c>
      <c r="F1131" s="513"/>
      <c r="G1131" s="512" t="s">
        <v>111</v>
      </c>
      <c r="H1131" s="513"/>
      <c r="I1131" s="500"/>
      <c r="J1131" s="501"/>
      <c r="K1131" s="532"/>
      <c r="L1131" s="515"/>
      <c r="M1131" s="532"/>
      <c r="N1131" s="530"/>
    </row>
    <row r="1132" spans="2:14" ht="20.100000000000001" customHeight="1">
      <c r="B1132" s="260" t="s">
        <v>336</v>
      </c>
      <c r="D1132" s="261" t="str">
        <f>IF(B1132=0,0,VLOOKUP(B1132,TRANS,3,FALSE))</f>
        <v>MATERIAL DE JAZIDA</v>
      </c>
      <c r="E1132" s="496">
        <f>IF(B1132=0,0,VLOOKUP(B1132,TRANS,5,FALSE))</f>
        <v>0.33</v>
      </c>
      <c r="F1132" s="497"/>
      <c r="G1132" s="545"/>
      <c r="H1132" s="546"/>
      <c r="I1132" s="496">
        <f>IF(B1132=0,0,VLOOKUP(B1132,TRANS,6,FALSE))</f>
        <v>15</v>
      </c>
      <c r="J1132" s="497"/>
      <c r="K1132" s="39" t="str">
        <f>IF(B1132=0,0,VLOOKUP(B1132,TRANS,4,FALSE))</f>
        <v>T.KM</v>
      </c>
      <c r="L1132" s="39">
        <f>E1132*I1132</f>
        <v>4.95</v>
      </c>
      <c r="M1132" s="39">
        <v>5.0000000000000001E-3</v>
      </c>
      <c r="N1132" s="317">
        <f>ROUND(L1132*M1132,2)</f>
        <v>0.02</v>
      </c>
    </row>
    <row r="1133" spans="2:14" ht="20.100000000000001" customHeight="1">
      <c r="B1133" s="260"/>
      <c r="D1133" s="261"/>
      <c r="E1133" s="504"/>
      <c r="F1133" s="505"/>
      <c r="G1133" s="502"/>
      <c r="H1133" s="503"/>
      <c r="I1133" s="533"/>
      <c r="J1133" s="534"/>
      <c r="K1133" s="66"/>
      <c r="L1133" s="67"/>
      <c r="M1133" s="70"/>
      <c r="N1133" s="278"/>
    </row>
    <row r="1134" spans="2:14" ht="20.100000000000001" customHeight="1">
      <c r="D1134" s="175"/>
      <c r="E1134" s="176"/>
      <c r="F1134" s="159"/>
      <c r="G1134" s="173"/>
      <c r="H1134" s="159"/>
      <c r="I1134" s="163"/>
      <c r="J1134" s="161"/>
      <c r="K1134" s="161"/>
      <c r="L1134" s="163"/>
      <c r="M1134" s="71" t="s">
        <v>112</v>
      </c>
      <c r="N1134" s="302">
        <f>SUM(N1132:N1133)</f>
        <v>0.02</v>
      </c>
    </row>
    <row r="1135" spans="2:14" ht="3.95" customHeight="1" thickBot="1">
      <c r="D1135" s="175"/>
      <c r="E1135" s="159"/>
      <c r="F1135" s="173"/>
      <c r="G1135" s="159"/>
      <c r="H1135" s="161"/>
      <c r="I1135" s="163"/>
      <c r="J1135" s="161"/>
      <c r="K1135" s="161"/>
      <c r="L1135" s="163"/>
      <c r="M1135" s="161"/>
      <c r="N1135" s="305"/>
    </row>
    <row r="1136" spans="2:14" ht="20.100000000000001" customHeight="1">
      <c r="D1136" s="177"/>
      <c r="E1136" s="178"/>
      <c r="F1136" s="178"/>
      <c r="G1136" s="178"/>
      <c r="H1136" s="179"/>
      <c r="I1136" s="239"/>
      <c r="J1136" s="127" t="s">
        <v>114</v>
      </c>
      <c r="K1136" s="128"/>
      <c r="L1136" s="306"/>
      <c r="M1136" s="129">
        <v>0.02</v>
      </c>
      <c r="N1136" s="307">
        <f>(+N1122+N1128+N1134)*M1136</f>
        <v>1.2800000000000001E-2</v>
      </c>
    </row>
    <row r="1137" spans="2:15" ht="20.100000000000001" customHeight="1" thickBot="1">
      <c r="D1137" s="180"/>
      <c r="E1137" s="181"/>
      <c r="F1137" s="181"/>
      <c r="G1137" s="181"/>
      <c r="H1137" s="181"/>
      <c r="I1137" s="240"/>
      <c r="J1137" s="537" t="s">
        <v>149</v>
      </c>
      <c r="K1137" s="538"/>
      <c r="L1137" s="538"/>
      <c r="M1137" s="538"/>
      <c r="N1137" s="308">
        <f>+N1122+N1128+N1134+N1136</f>
        <v>0.65280000000000005</v>
      </c>
    </row>
    <row r="1138" spans="2:15" ht="20.100000000000001" customHeight="1" thickBot="1">
      <c r="D1138" s="182"/>
      <c r="E1138" s="183"/>
      <c r="F1138" s="183"/>
      <c r="G1138" s="183"/>
      <c r="H1138" s="183"/>
      <c r="I1138" s="241"/>
      <c r="J1138" s="184" t="s">
        <v>158</v>
      </c>
      <c r="K1138" s="185"/>
      <c r="L1138" s="309"/>
      <c r="M1138" s="186">
        <f>DI</f>
        <v>0.26700000000000002</v>
      </c>
      <c r="N1138" s="310">
        <f>(M1138*N1137)+N1137</f>
        <v>0.8270976000000001</v>
      </c>
    </row>
    <row r="1140" spans="2:15" s="192" customFormat="1" ht="20.100000000000001" customHeight="1">
      <c r="B1140" s="198"/>
      <c r="C1140" s="198"/>
      <c r="D1140" s="193"/>
      <c r="E1140" s="193"/>
      <c r="F1140" s="193"/>
      <c r="G1140" s="193"/>
      <c r="H1140" s="194"/>
      <c r="I1140" s="242"/>
      <c r="J1140" s="193"/>
      <c r="K1140" s="193"/>
      <c r="L1140" s="242"/>
      <c r="M1140" s="193"/>
      <c r="N1140" s="242"/>
      <c r="O1140" s="390"/>
    </row>
    <row r="1141" spans="2:15" s="192" customFormat="1" ht="20.100000000000001" customHeight="1" thickBot="1">
      <c r="B1141" s="198"/>
      <c r="C1141" s="198"/>
      <c r="D1141" s="193"/>
      <c r="E1141" s="193"/>
      <c r="F1141" s="193"/>
      <c r="G1141" s="193"/>
      <c r="H1141" s="194"/>
      <c r="I1141" s="242"/>
      <c r="J1141" s="193"/>
      <c r="K1141" s="193"/>
      <c r="L1141" s="242"/>
      <c r="M1141" s="193"/>
      <c r="N1141" s="242"/>
      <c r="O1141" s="390"/>
    </row>
    <row r="1142" spans="2:15" ht="20.100000000000001" customHeight="1">
      <c r="B1142" s="197" t="s">
        <v>204</v>
      </c>
      <c r="D1142" s="520"/>
      <c r="E1142" s="521"/>
      <c r="F1142" s="524" t="s">
        <v>74</v>
      </c>
      <c r="G1142" s="525"/>
      <c r="H1142" s="525"/>
      <c r="I1142" s="525"/>
      <c r="J1142" s="525"/>
      <c r="K1142" s="525"/>
      <c r="L1142" s="526"/>
      <c r="M1142" s="19" t="s">
        <v>75</v>
      </c>
      <c r="N1142" s="20" t="s">
        <v>76</v>
      </c>
    </row>
    <row r="1143" spans="2:15" ht="20.100000000000001" customHeight="1">
      <c r="D1143" s="522"/>
      <c r="E1143" s="523"/>
      <c r="F1143" s="512" t="str">
        <f>VLOOKUP(B1142,Resumo_Composições,3,FALSE)</f>
        <v>REFORÇO DO SUBLEITO</v>
      </c>
      <c r="G1143" s="519"/>
      <c r="H1143" s="519"/>
      <c r="I1143" s="519"/>
      <c r="J1143" s="519"/>
      <c r="K1143" s="519"/>
      <c r="L1143" s="513"/>
      <c r="M1143" s="24" t="str">
        <f>VLOOKUP(B1142,Resumo_Composições,4,FALSE)</f>
        <v>M3</v>
      </c>
      <c r="N1143" s="25">
        <f>DATA</f>
        <v>41214</v>
      </c>
    </row>
    <row r="1144" spans="2:15" ht="20.100000000000001" customHeight="1">
      <c r="D1144" s="26" t="s">
        <v>77</v>
      </c>
      <c r="E1144" s="27"/>
      <c r="F1144" s="27"/>
      <c r="G1144" s="27"/>
      <c r="H1144" s="28"/>
      <c r="I1144" s="214" t="s">
        <v>78</v>
      </c>
      <c r="J1144" s="509" t="s">
        <v>79</v>
      </c>
      <c r="K1144" s="511"/>
      <c r="L1144" s="535" t="s">
        <v>80</v>
      </c>
      <c r="M1144" s="536"/>
      <c r="N1144" s="516" t="s">
        <v>81</v>
      </c>
    </row>
    <row r="1145" spans="2:15" ht="20.100000000000001" customHeight="1">
      <c r="D1145" s="31"/>
      <c r="E1145" s="32"/>
      <c r="F1145" s="32"/>
      <c r="G1145" s="32"/>
      <c r="H1145" s="33"/>
      <c r="I1145" s="34"/>
      <c r="J1145" s="51" t="s">
        <v>82</v>
      </c>
      <c r="K1145" s="51" t="s">
        <v>83</v>
      </c>
      <c r="L1145" s="51" t="s">
        <v>82</v>
      </c>
      <c r="M1145" s="51" t="s">
        <v>84</v>
      </c>
      <c r="N1145" s="517"/>
    </row>
    <row r="1146" spans="2:15" ht="20.100000000000001" customHeight="1">
      <c r="B1146" s="260" t="s">
        <v>281</v>
      </c>
      <c r="D1146" s="35" t="str">
        <f t="shared" ref="D1146:D1152" si="64">IF(B1146=0,0,VLOOKUP(B1146,EQUIP,3,FALSE))</f>
        <v>MOTONIVELADORA - 93 KW</v>
      </c>
      <c r="E1146" s="36"/>
      <c r="F1146" s="36"/>
      <c r="G1146" s="36"/>
      <c r="H1146" s="37"/>
      <c r="I1146" s="215">
        <v>1</v>
      </c>
      <c r="J1146" s="38">
        <v>0.78</v>
      </c>
      <c r="K1146" s="38">
        <f>1-J1146</f>
        <v>0.21999999999999997</v>
      </c>
      <c r="L1146" s="215">
        <f t="shared" ref="L1146:L1152" si="65">IF(B1146=0,0,VLOOKUP(B1146,EQUIP,6,FALSE))</f>
        <v>153.06</v>
      </c>
      <c r="M1146" s="38">
        <f t="shared" ref="M1146:M1152" si="66">IF(B1146=0,0,VLOOKUP(B1146,EQUIP,7,FALSE))</f>
        <v>22.39</v>
      </c>
      <c r="N1146" s="400">
        <f t="shared" ref="N1146:N1152" si="67">ROUND(I1146*J1146*L1146+K1146*M1146,2)</f>
        <v>124.31</v>
      </c>
    </row>
    <row r="1147" spans="2:15" ht="20.100000000000001" customHeight="1">
      <c r="B1147" s="260" t="s">
        <v>292</v>
      </c>
      <c r="D1147" s="35" t="str">
        <f t="shared" si="64"/>
        <v>TRATOR AGRICOLA (77 KW)</v>
      </c>
      <c r="E1147" s="36"/>
      <c r="F1147" s="36"/>
      <c r="G1147" s="36"/>
      <c r="H1147" s="37"/>
      <c r="I1147" s="55">
        <v>1</v>
      </c>
      <c r="J1147" s="39">
        <v>0.52</v>
      </c>
      <c r="K1147" s="38">
        <f t="shared" ref="K1147:K1152" si="68">1-J1147</f>
        <v>0.48</v>
      </c>
      <c r="L1147" s="215">
        <f t="shared" si="65"/>
        <v>65.799899999999994</v>
      </c>
      <c r="M1147" s="38">
        <f t="shared" si="66"/>
        <v>17.27</v>
      </c>
      <c r="N1147" s="400">
        <f t="shared" si="67"/>
        <v>42.51</v>
      </c>
    </row>
    <row r="1148" spans="2:15" ht="20.100000000000001" customHeight="1">
      <c r="B1148" s="260" t="s">
        <v>287</v>
      </c>
      <c r="D1148" s="35" t="str">
        <f t="shared" si="64"/>
        <v>ROLO COMPACTADOR PÉ DE CARNEIRO VIBRATORIO 11,25 t ( 85 KW)</v>
      </c>
      <c r="E1148" s="36"/>
      <c r="F1148" s="36"/>
      <c r="G1148" s="36"/>
      <c r="H1148" s="37"/>
      <c r="I1148" s="215">
        <v>1</v>
      </c>
      <c r="J1148" s="38">
        <v>1</v>
      </c>
      <c r="K1148" s="38">
        <f t="shared" si="68"/>
        <v>0</v>
      </c>
      <c r="L1148" s="215">
        <f t="shared" si="65"/>
        <v>113.04</v>
      </c>
      <c r="M1148" s="38">
        <f t="shared" si="66"/>
        <v>17.27</v>
      </c>
      <c r="N1148" s="400">
        <f t="shared" si="67"/>
        <v>113.04</v>
      </c>
    </row>
    <row r="1149" spans="2:15" ht="20.100000000000001" customHeight="1">
      <c r="B1149" s="260" t="s">
        <v>278</v>
      </c>
      <c r="D1149" s="35" t="str">
        <f t="shared" si="64"/>
        <v>GRADE DE DISCO - GA 24 x 24</v>
      </c>
      <c r="E1149" s="36"/>
      <c r="F1149" s="36"/>
      <c r="G1149" s="36"/>
      <c r="H1149" s="37"/>
      <c r="I1149" s="55">
        <v>1</v>
      </c>
      <c r="J1149" s="39">
        <v>0.52</v>
      </c>
      <c r="K1149" s="38">
        <f t="shared" si="68"/>
        <v>0.48</v>
      </c>
      <c r="L1149" s="215">
        <f t="shared" si="65"/>
        <v>2.58</v>
      </c>
      <c r="M1149" s="38">
        <f t="shared" si="66"/>
        <v>0</v>
      </c>
      <c r="N1149" s="400">
        <f t="shared" si="67"/>
        <v>1.34</v>
      </c>
    </row>
    <row r="1150" spans="2:15" ht="20.100000000000001" customHeight="1">
      <c r="B1150" s="260" t="s">
        <v>285</v>
      </c>
      <c r="D1150" s="35" t="str">
        <f t="shared" si="64"/>
        <v>ROLO COMPACTADOR DE PNEUS 21 t (97 KW)</v>
      </c>
      <c r="E1150" s="36"/>
      <c r="F1150" s="36"/>
      <c r="G1150" s="36"/>
      <c r="H1150" s="37"/>
      <c r="I1150" s="55">
        <v>1</v>
      </c>
      <c r="J1150" s="39">
        <v>0.78</v>
      </c>
      <c r="K1150" s="38">
        <f t="shared" si="68"/>
        <v>0.21999999999999997</v>
      </c>
      <c r="L1150" s="215">
        <f t="shared" si="65"/>
        <v>96.39</v>
      </c>
      <c r="M1150" s="38">
        <f t="shared" si="66"/>
        <v>17.27</v>
      </c>
      <c r="N1150" s="400">
        <f t="shared" si="67"/>
        <v>78.98</v>
      </c>
    </row>
    <row r="1151" spans="2:15" ht="20.100000000000001" customHeight="1">
      <c r="B1151" s="260" t="s">
        <v>262</v>
      </c>
      <c r="D1151" s="35" t="str">
        <f t="shared" si="64"/>
        <v>CAMINHÃO BASCULANTE 10m3 - 15 T (170 KW)</v>
      </c>
      <c r="E1151" s="36"/>
      <c r="F1151" s="36"/>
      <c r="G1151" s="36"/>
      <c r="H1151" s="37"/>
      <c r="I1151" s="55">
        <v>1.49</v>
      </c>
      <c r="J1151" s="38">
        <v>1</v>
      </c>
      <c r="K1151" s="38">
        <f t="shared" si="68"/>
        <v>0</v>
      </c>
      <c r="L1151" s="215">
        <f t="shared" si="65"/>
        <v>135.83000000000001</v>
      </c>
      <c r="M1151" s="38">
        <f t="shared" si="66"/>
        <v>20.47</v>
      </c>
      <c r="N1151" s="400">
        <f t="shared" si="67"/>
        <v>202.39</v>
      </c>
    </row>
    <row r="1152" spans="2:15" ht="20.100000000000001" customHeight="1">
      <c r="B1152" s="260" t="s">
        <v>265</v>
      </c>
      <c r="D1152" s="35" t="str">
        <f t="shared" si="64"/>
        <v>CAMINHÃO TANQUE 10.000 l</v>
      </c>
      <c r="E1152" s="36"/>
      <c r="F1152" s="36"/>
      <c r="G1152" s="36"/>
      <c r="H1152" s="37"/>
      <c r="I1152" s="55">
        <v>1.08</v>
      </c>
      <c r="J1152" s="38">
        <v>0.92</v>
      </c>
      <c r="K1152" s="38">
        <f t="shared" si="68"/>
        <v>7.999999999999996E-2</v>
      </c>
      <c r="L1152" s="215">
        <f t="shared" si="65"/>
        <v>126.87</v>
      </c>
      <c r="M1152" s="38">
        <f t="shared" si="66"/>
        <v>20.47</v>
      </c>
      <c r="N1152" s="400">
        <f t="shared" si="67"/>
        <v>127.7</v>
      </c>
    </row>
    <row r="1153" spans="2:14" ht="20.100000000000001" customHeight="1">
      <c r="D1153" s="155"/>
      <c r="E1153" s="156"/>
      <c r="F1153" s="156"/>
      <c r="G1153" s="156"/>
      <c r="H1153" s="156"/>
      <c r="I1153" s="235"/>
      <c r="J1153" s="157"/>
      <c r="K1153" s="157"/>
      <c r="L1153" s="216"/>
      <c r="M1153" s="42" t="s">
        <v>89</v>
      </c>
      <c r="N1153" s="401">
        <f>SUM(N1146:N1152)</f>
        <v>690.27</v>
      </c>
    </row>
    <row r="1154" spans="2:14" ht="3.95" customHeight="1">
      <c r="D1154" s="158"/>
      <c r="E1154" s="159"/>
      <c r="F1154" s="159"/>
      <c r="G1154" s="160"/>
      <c r="H1154" s="159"/>
      <c r="I1154" s="236"/>
      <c r="J1154" s="161"/>
      <c r="K1154" s="162"/>
      <c r="L1154" s="163"/>
      <c r="M1154" s="163"/>
      <c r="N1154" s="300"/>
    </row>
    <row r="1155" spans="2:14" ht="20.100000000000001" customHeight="1">
      <c r="D1155" s="518" t="s">
        <v>90</v>
      </c>
      <c r="E1155" s="519"/>
      <c r="F1155" s="519"/>
      <c r="G1155" s="519"/>
      <c r="H1155" s="519"/>
      <c r="I1155" s="519"/>
      <c r="J1155" s="513"/>
      <c r="K1155" s="50" t="s">
        <v>91</v>
      </c>
      <c r="L1155" s="51" t="s">
        <v>92</v>
      </c>
      <c r="M1155" s="51" t="s">
        <v>93</v>
      </c>
      <c r="N1155" s="272" t="s">
        <v>94</v>
      </c>
    </row>
    <row r="1156" spans="2:14" ht="20.100000000000001" customHeight="1">
      <c r="B1156" s="260" t="s">
        <v>250</v>
      </c>
      <c r="D1156" s="52" t="str">
        <f>IF(B1156=0,0,VLOOKUP(B1156,MO,2,FALSE))</f>
        <v>ENCARREGADO DE PAVIMENTAÇÃO</v>
      </c>
      <c r="E1156" s="53"/>
      <c r="F1156" s="53"/>
      <c r="G1156" s="53"/>
      <c r="H1156" s="53"/>
      <c r="I1156" s="36"/>
      <c r="J1156" s="54"/>
      <c r="K1156" s="152"/>
      <c r="L1156" s="164">
        <v>1</v>
      </c>
      <c r="M1156" s="55">
        <f>IF(B1156=0,0,VLOOKUP(B1156,MO,6,FALSE))</f>
        <v>44.786799999999999</v>
      </c>
      <c r="N1156" s="301">
        <f>ROUND(L1156*M1156,2)</f>
        <v>44.79</v>
      </c>
    </row>
    <row r="1157" spans="2:14" ht="20.100000000000001" customHeight="1">
      <c r="B1157" s="260" t="s">
        <v>248</v>
      </c>
      <c r="D1157" s="52" t="str">
        <f>IF(B1157=0,0,VLOOKUP(B1157,MO,2,FALSE))</f>
        <v>SERVENTE</v>
      </c>
      <c r="E1157" s="53"/>
      <c r="F1157" s="53"/>
      <c r="G1157" s="53"/>
      <c r="H1157" s="53"/>
      <c r="I1157" s="36"/>
      <c r="J1157" s="54"/>
      <c r="K1157" s="152"/>
      <c r="L1157" s="164">
        <v>3</v>
      </c>
      <c r="M1157" s="55">
        <f>IF(B1157=0,0,VLOOKUP(B1157,MO,6,FALSE))</f>
        <v>7.9973000000000001</v>
      </c>
      <c r="N1157" s="301">
        <f>ROUND(L1157*M1157,2)</f>
        <v>23.99</v>
      </c>
    </row>
    <row r="1158" spans="2:14" ht="20.100000000000001" customHeight="1">
      <c r="B1158" s="260"/>
      <c r="D1158" s="52" t="s">
        <v>122</v>
      </c>
      <c r="E1158" s="53"/>
      <c r="F1158" s="53"/>
      <c r="G1158" s="53"/>
      <c r="H1158" s="53"/>
      <c r="I1158" s="36"/>
      <c r="J1158" s="54"/>
      <c r="K1158" s="165">
        <v>0</v>
      </c>
      <c r="L1158" s="166">
        <f>N1156+N1157</f>
        <v>68.78</v>
      </c>
      <c r="M1158" s="164"/>
      <c r="N1158" s="316">
        <f>ROUND(L1158*K1158,2)</f>
        <v>0</v>
      </c>
    </row>
    <row r="1159" spans="2:14" ht="20.100000000000001" customHeight="1">
      <c r="D1159" s="381"/>
      <c r="E1159" s="59"/>
      <c r="F1159" s="168"/>
      <c r="G1159" s="168"/>
      <c r="H1159" s="159"/>
      <c r="I1159" s="236"/>
      <c r="J1159" s="169"/>
      <c r="K1159" s="162"/>
      <c r="L1159" s="163"/>
      <c r="M1159" s="62" t="s">
        <v>98</v>
      </c>
      <c r="N1159" s="302">
        <f>SUM(N1156:N1158)</f>
        <v>68.78</v>
      </c>
    </row>
    <row r="1160" spans="2:14" ht="3.95" customHeight="1">
      <c r="D1160" s="40"/>
      <c r="E1160" s="159"/>
      <c r="F1160" s="159"/>
      <c r="G1160" s="159"/>
      <c r="H1160" s="159"/>
      <c r="I1160" s="236"/>
      <c r="J1160" s="169"/>
      <c r="K1160" s="162"/>
      <c r="L1160" s="163"/>
      <c r="M1160" s="163"/>
      <c r="N1160" s="300"/>
    </row>
    <row r="1161" spans="2:14" ht="20.100000000000001" customHeight="1">
      <c r="D1161" s="170"/>
      <c r="E1161" s="168"/>
      <c r="F1161" s="168"/>
      <c r="G1161" s="168"/>
      <c r="H1161" s="171"/>
      <c r="I1161" s="237"/>
      <c r="J1161" s="171"/>
      <c r="K1161" s="509" t="s">
        <v>99</v>
      </c>
      <c r="L1161" s="510"/>
      <c r="M1161" s="511"/>
      <c r="N1161" s="303">
        <f>+N1153+N1159</f>
        <v>759.05</v>
      </c>
    </row>
    <row r="1162" spans="2:14" ht="3.95" customHeight="1">
      <c r="D1162" s="172"/>
      <c r="E1162" s="159"/>
      <c r="F1162" s="159"/>
      <c r="G1162" s="160"/>
      <c r="H1162" s="159"/>
      <c r="I1162" s="236"/>
      <c r="J1162" s="161"/>
      <c r="K1162" s="162"/>
      <c r="L1162" s="163"/>
      <c r="M1162" s="163"/>
      <c r="N1162" s="300"/>
    </row>
    <row r="1163" spans="2:14" ht="20.100000000000001" customHeight="1">
      <c r="D1163" s="167"/>
      <c r="E1163" s="509" t="s">
        <v>100</v>
      </c>
      <c r="F1163" s="510"/>
      <c r="G1163" s="510"/>
      <c r="H1163" s="511"/>
      <c r="I1163" s="238">
        <v>175</v>
      </c>
      <c r="J1163" s="163"/>
      <c r="K1163" s="506" t="s">
        <v>101</v>
      </c>
      <c r="L1163" s="507"/>
      <c r="M1163" s="507"/>
      <c r="N1163" s="382">
        <f>ROUND(N1161/I1163,2)</f>
        <v>4.34</v>
      </c>
    </row>
    <row r="1164" spans="2:14" ht="3.95" customHeight="1">
      <c r="D1164" s="158"/>
      <c r="E1164" s="159"/>
      <c r="F1164" s="159"/>
      <c r="G1164" s="173"/>
      <c r="H1164" s="159"/>
      <c r="I1164" s="163"/>
      <c r="J1164" s="161"/>
      <c r="K1164" s="161"/>
      <c r="L1164" s="163"/>
      <c r="M1164" s="161"/>
      <c r="N1164" s="305"/>
    </row>
    <row r="1165" spans="2:14" ht="20.100000000000001" customHeight="1">
      <c r="D1165" s="49" t="s">
        <v>102</v>
      </c>
      <c r="E1165" s="22"/>
      <c r="F1165" s="22"/>
      <c r="G1165" s="22"/>
      <c r="H1165" s="22"/>
      <c r="I1165" s="141"/>
      <c r="J1165" s="23"/>
      <c r="K1165" s="50" t="s">
        <v>103</v>
      </c>
      <c r="L1165" s="51" t="s">
        <v>80</v>
      </c>
      <c r="M1165" s="51" t="s">
        <v>104</v>
      </c>
      <c r="N1165" s="272" t="s">
        <v>105</v>
      </c>
    </row>
    <row r="1166" spans="2:14" ht="20.100000000000001" customHeight="1">
      <c r="B1166" s="260" t="s">
        <v>308</v>
      </c>
      <c r="D1166" s="52" t="str">
        <f>IF(B1166=0,0,VLOOKUP(B1166,MAT,3,FALSE))</f>
        <v>ESCAVAÇÃO E CARGA DE MATERIAL DE JAZIDA (CONSV)</v>
      </c>
      <c r="E1166" s="53"/>
      <c r="F1166" s="53"/>
      <c r="G1166" s="53"/>
      <c r="H1166" s="53"/>
      <c r="I1166" s="36"/>
      <c r="J1166" s="54"/>
      <c r="K1166" s="66" t="str">
        <f>IF(B1166=0,0,VLOOKUP(B1166,MAT,5,FALSE))</f>
        <v>M3</v>
      </c>
      <c r="L1166" s="55">
        <f>IF(B1166=0,0,VLOOKUP(B1166,MAT,6,FALSE))</f>
        <v>7.82</v>
      </c>
      <c r="M1166" s="433">
        <v>1.1499999999999999</v>
      </c>
      <c r="N1166" s="301">
        <f>ROUND(L1166*M1166,2)</f>
        <v>8.99</v>
      </c>
    </row>
    <row r="1167" spans="2:14" ht="20.100000000000001" customHeight="1">
      <c r="D1167" s="158"/>
      <c r="E1167" s="159"/>
      <c r="F1167" s="159"/>
      <c r="G1167" s="173"/>
      <c r="H1167" s="159"/>
      <c r="I1167" s="163"/>
      <c r="J1167" s="161"/>
      <c r="K1167" s="161"/>
      <c r="L1167" s="163"/>
      <c r="M1167" s="71" t="s">
        <v>106</v>
      </c>
      <c r="N1167" s="302">
        <f>SUM(N1166:N1166)</f>
        <v>8.99</v>
      </c>
    </row>
    <row r="1168" spans="2:14" ht="20.100000000000001" customHeight="1">
      <c r="D1168" s="158"/>
      <c r="E1168" s="159"/>
      <c r="F1168" s="159"/>
      <c r="G1168" s="173"/>
      <c r="H1168" s="159"/>
      <c r="I1168" s="163"/>
      <c r="J1168" s="161"/>
      <c r="K1168" s="161"/>
      <c r="L1168" s="163"/>
      <c r="M1168" s="161"/>
      <c r="N1168" s="305"/>
    </row>
    <row r="1169" spans="2:15" ht="20.100000000000001" customHeight="1">
      <c r="D1169" s="527" t="s">
        <v>107</v>
      </c>
      <c r="E1169" s="72" t="s">
        <v>2</v>
      </c>
      <c r="F1169" s="73"/>
      <c r="G1169" s="73"/>
      <c r="H1169" s="74"/>
      <c r="I1169" s="498" t="s">
        <v>108</v>
      </c>
      <c r="J1169" s="499"/>
      <c r="K1169" s="531" t="s">
        <v>103</v>
      </c>
      <c r="L1169" s="514" t="s">
        <v>80</v>
      </c>
      <c r="M1169" s="531" t="s">
        <v>109</v>
      </c>
      <c r="N1169" s="529" t="s">
        <v>105</v>
      </c>
    </row>
    <row r="1170" spans="2:15" ht="20.100000000000001" customHeight="1">
      <c r="D1170" s="528"/>
      <c r="E1170" s="512" t="s">
        <v>110</v>
      </c>
      <c r="F1170" s="513"/>
      <c r="G1170" s="512" t="s">
        <v>111</v>
      </c>
      <c r="H1170" s="513"/>
      <c r="I1170" s="500"/>
      <c r="J1170" s="501"/>
      <c r="K1170" s="532"/>
      <c r="L1170" s="515"/>
      <c r="M1170" s="532"/>
      <c r="N1170" s="530"/>
    </row>
    <row r="1171" spans="2:15" ht="20.100000000000001" customHeight="1">
      <c r="B1171" s="260" t="s">
        <v>333</v>
      </c>
      <c r="D1171" s="261" t="str">
        <f>IF(B1171=0,0,VLOOKUP(B1171,TRANS,3,FALSE))</f>
        <v>MATERIAL DE JAZIDA</v>
      </c>
      <c r="E1171" s="504">
        <f>IF(B1171=0,0,VLOOKUP(B1171,TRANS,5,FALSE))</f>
        <v>0.44</v>
      </c>
      <c r="F1171" s="505"/>
      <c r="G1171" s="502"/>
      <c r="H1171" s="503"/>
      <c r="I1171" s="496">
        <f>IF(B1171=0,0,VLOOKUP(B1171,TRANS,6,FALSE))</f>
        <v>15</v>
      </c>
      <c r="J1171" s="497"/>
      <c r="K1171" s="262" t="str">
        <f>IF(B1171=0,0,VLOOKUP(B1171,TRANS,4,FALSE))</f>
        <v>T.KM</v>
      </c>
      <c r="L1171" s="411">
        <f>E1171*I1171</f>
        <v>6.6</v>
      </c>
      <c r="M1171" s="432">
        <v>1.93</v>
      </c>
      <c r="N1171" s="278">
        <f>ROUND(L1171*M1171,2)</f>
        <v>12.74</v>
      </c>
    </row>
    <row r="1172" spans="2:15" ht="20.100000000000001" customHeight="1">
      <c r="B1172" s="260"/>
      <c r="D1172" s="261"/>
      <c r="E1172" s="504"/>
      <c r="F1172" s="505"/>
      <c r="G1172" s="502"/>
      <c r="H1172" s="503"/>
      <c r="I1172" s="533"/>
      <c r="J1172" s="534"/>
      <c r="K1172" s="66"/>
      <c r="L1172" s="67"/>
      <c r="M1172" s="70"/>
      <c r="N1172" s="278"/>
    </row>
    <row r="1173" spans="2:15" ht="20.100000000000001" customHeight="1">
      <c r="D1173" s="175"/>
      <c r="E1173" s="176"/>
      <c r="F1173" s="159"/>
      <c r="G1173" s="173"/>
      <c r="H1173" s="159"/>
      <c r="I1173" s="163"/>
      <c r="J1173" s="161"/>
      <c r="K1173" s="161"/>
      <c r="L1173" s="163"/>
      <c r="M1173" s="71" t="s">
        <v>112</v>
      </c>
      <c r="N1173" s="302">
        <f>SUM(N1171:N1172)</f>
        <v>12.74</v>
      </c>
    </row>
    <row r="1174" spans="2:15" ht="3.95" customHeight="1" thickBot="1">
      <c r="D1174" s="175"/>
      <c r="E1174" s="159"/>
      <c r="F1174" s="173"/>
      <c r="G1174" s="159"/>
      <c r="H1174" s="161"/>
      <c r="I1174" s="163"/>
      <c r="J1174" s="161"/>
      <c r="K1174" s="161"/>
      <c r="L1174" s="163"/>
      <c r="M1174" s="161"/>
      <c r="N1174" s="305"/>
    </row>
    <row r="1175" spans="2:15" ht="20.100000000000001" customHeight="1">
      <c r="D1175" s="177"/>
      <c r="E1175" s="178"/>
      <c r="F1175" s="178"/>
      <c r="G1175" s="178"/>
      <c r="H1175" s="179"/>
      <c r="I1175" s="239"/>
      <c r="J1175" s="127" t="s">
        <v>114</v>
      </c>
      <c r="K1175" s="128"/>
      <c r="L1175" s="306"/>
      <c r="M1175" s="129">
        <v>0.02</v>
      </c>
      <c r="N1175" s="307">
        <f>(+N1163+N1167+N1173)*M1175</f>
        <v>0.52139999999999997</v>
      </c>
    </row>
    <row r="1176" spans="2:15" ht="20.100000000000001" customHeight="1" thickBot="1">
      <c r="D1176" s="180"/>
      <c r="E1176" s="181"/>
      <c r="F1176" s="181"/>
      <c r="G1176" s="181"/>
      <c r="H1176" s="181"/>
      <c r="I1176" s="240"/>
      <c r="J1176" s="537" t="s">
        <v>149</v>
      </c>
      <c r="K1176" s="538"/>
      <c r="L1176" s="538"/>
      <c r="M1176" s="538"/>
      <c r="N1176" s="308">
        <f>+N1163+N1167+N1173+N1175</f>
        <v>26.5914</v>
      </c>
    </row>
    <row r="1177" spans="2:15" ht="20.100000000000001" customHeight="1" thickBot="1">
      <c r="D1177" s="182"/>
      <c r="E1177" s="183"/>
      <c r="F1177" s="183"/>
      <c r="G1177" s="183"/>
      <c r="H1177" s="183"/>
      <c r="I1177" s="241"/>
      <c r="J1177" s="184" t="s">
        <v>158</v>
      </c>
      <c r="K1177" s="185"/>
      <c r="L1177" s="309"/>
      <c r="M1177" s="186">
        <f>DI</f>
        <v>0.26700000000000002</v>
      </c>
      <c r="N1177" s="310">
        <f>(M1177*N1176)+N1176</f>
        <v>33.6913038</v>
      </c>
    </row>
    <row r="1178" spans="2:15" s="192" customFormat="1" ht="20.100000000000001" customHeight="1">
      <c r="B1178" s="198"/>
      <c r="C1178" s="198"/>
      <c r="D1178" s="193"/>
      <c r="E1178" s="193"/>
      <c r="F1178" s="193"/>
      <c r="G1178" s="193"/>
      <c r="H1178" s="194"/>
      <c r="I1178" s="242"/>
      <c r="J1178" s="193"/>
      <c r="K1178" s="193"/>
      <c r="L1178" s="242"/>
      <c r="M1178" s="193"/>
      <c r="N1178" s="242"/>
      <c r="O1178" s="390"/>
    </row>
    <row r="1179" spans="2:15" s="192" customFormat="1" ht="20.100000000000001" customHeight="1">
      <c r="B1179" s="198"/>
      <c r="C1179" s="198"/>
      <c r="D1179" s="193"/>
      <c r="E1179" s="193"/>
      <c r="F1179" s="193"/>
      <c r="G1179" s="193"/>
      <c r="H1179" s="194"/>
      <c r="I1179" s="242"/>
      <c r="J1179" s="193"/>
      <c r="K1179" s="193"/>
      <c r="L1179" s="242"/>
      <c r="M1179" s="193"/>
      <c r="N1179" s="242"/>
      <c r="O1179" s="390"/>
    </row>
    <row r="1180" spans="2:15" s="192" customFormat="1" ht="20.100000000000001" customHeight="1" thickBot="1">
      <c r="B1180" s="198"/>
      <c r="C1180" s="198"/>
      <c r="D1180" s="193"/>
      <c r="E1180" s="193"/>
      <c r="F1180" s="193"/>
      <c r="G1180" s="193"/>
      <c r="H1180" s="194"/>
      <c r="I1180" s="242"/>
      <c r="J1180" s="193"/>
      <c r="K1180" s="193"/>
      <c r="L1180" s="242"/>
      <c r="M1180" s="193"/>
      <c r="N1180" s="242"/>
      <c r="O1180" s="390"/>
    </row>
    <row r="1181" spans="2:15" ht="20.100000000000001" customHeight="1">
      <c r="B1181" s="197" t="s">
        <v>205</v>
      </c>
      <c r="D1181" s="520"/>
      <c r="E1181" s="521"/>
      <c r="F1181" s="524" t="s">
        <v>74</v>
      </c>
      <c r="G1181" s="525"/>
      <c r="H1181" s="525"/>
      <c r="I1181" s="525"/>
      <c r="J1181" s="525"/>
      <c r="K1181" s="525"/>
      <c r="L1181" s="526"/>
      <c r="M1181" s="19" t="s">
        <v>75</v>
      </c>
      <c r="N1181" s="20" t="s">
        <v>76</v>
      </c>
    </row>
    <row r="1182" spans="2:15" ht="20.100000000000001" customHeight="1">
      <c r="D1182" s="522"/>
      <c r="E1182" s="523"/>
      <c r="F1182" s="512" t="str">
        <f>VLOOKUP(B1181,Resumo_Composições,3,FALSE)</f>
        <v>SUB-BASE SOLO ESTABILIZADO GRANULOMETRICAMENTE S/MISTURA</v>
      </c>
      <c r="G1182" s="519"/>
      <c r="H1182" s="519"/>
      <c r="I1182" s="519"/>
      <c r="J1182" s="519"/>
      <c r="K1182" s="519"/>
      <c r="L1182" s="513"/>
      <c r="M1182" s="24" t="str">
        <f>VLOOKUP(B1181,Resumo_Composições,4,FALSE)</f>
        <v>M3</v>
      </c>
      <c r="N1182" s="25">
        <f>DATA</f>
        <v>41214</v>
      </c>
    </row>
    <row r="1183" spans="2:15" ht="20.100000000000001" customHeight="1">
      <c r="D1183" s="26" t="s">
        <v>77</v>
      </c>
      <c r="E1183" s="27"/>
      <c r="F1183" s="27"/>
      <c r="G1183" s="27"/>
      <c r="H1183" s="28"/>
      <c r="I1183" s="214" t="s">
        <v>78</v>
      </c>
      <c r="J1183" s="509" t="s">
        <v>79</v>
      </c>
      <c r="K1183" s="511"/>
      <c r="L1183" s="535" t="s">
        <v>80</v>
      </c>
      <c r="M1183" s="536"/>
      <c r="N1183" s="516" t="s">
        <v>81</v>
      </c>
    </row>
    <row r="1184" spans="2:15" ht="20.100000000000001" customHeight="1">
      <c r="D1184" s="31"/>
      <c r="E1184" s="32"/>
      <c r="F1184" s="32"/>
      <c r="G1184" s="32"/>
      <c r="H1184" s="33"/>
      <c r="I1184" s="34"/>
      <c r="J1184" s="51" t="s">
        <v>82</v>
      </c>
      <c r="K1184" s="51" t="s">
        <v>83</v>
      </c>
      <c r="L1184" s="51" t="s">
        <v>82</v>
      </c>
      <c r="M1184" s="51" t="s">
        <v>84</v>
      </c>
      <c r="N1184" s="517"/>
    </row>
    <row r="1185" spans="2:14" ht="20.100000000000001" customHeight="1">
      <c r="B1185" s="260" t="s">
        <v>281</v>
      </c>
      <c r="D1185" s="35" t="str">
        <f t="shared" ref="D1185:D1191" si="69">IF(B1185=0,0,VLOOKUP(B1185,EQUIP,3,FALSE))</f>
        <v>MOTONIVELADORA - 93 KW</v>
      </c>
      <c r="E1185" s="36"/>
      <c r="F1185" s="36"/>
      <c r="G1185" s="36"/>
      <c r="H1185" s="37"/>
      <c r="I1185" s="215">
        <v>1</v>
      </c>
      <c r="J1185" s="38">
        <v>0.78</v>
      </c>
      <c r="K1185" s="38">
        <f>1-J1185</f>
        <v>0.21999999999999997</v>
      </c>
      <c r="L1185" s="215">
        <f t="shared" ref="L1185:L1191" si="70">IF(B1185=0,0,VLOOKUP(B1185,EQUIP,6,FALSE))</f>
        <v>153.06</v>
      </c>
      <c r="M1185" s="38">
        <f t="shared" ref="M1185:M1191" si="71">IF(B1185=0,0,VLOOKUP(B1185,EQUIP,7,FALSE))</f>
        <v>22.39</v>
      </c>
      <c r="N1185" s="269">
        <f t="shared" ref="N1185:N1191" si="72">ROUND(I1185*J1185*L1185+K1185*M1185,2)</f>
        <v>124.31</v>
      </c>
    </row>
    <row r="1186" spans="2:14" ht="20.100000000000001" customHeight="1">
      <c r="B1186" s="260" t="s">
        <v>292</v>
      </c>
      <c r="D1186" s="35" t="str">
        <f t="shared" si="69"/>
        <v>TRATOR AGRICOLA (77 KW)</v>
      </c>
      <c r="E1186" s="36"/>
      <c r="F1186" s="36"/>
      <c r="G1186" s="36"/>
      <c r="H1186" s="37"/>
      <c r="I1186" s="55">
        <v>1</v>
      </c>
      <c r="J1186" s="39">
        <v>0.52</v>
      </c>
      <c r="K1186" s="38">
        <f t="shared" ref="K1186:K1191" si="73">1-J1186</f>
        <v>0.48</v>
      </c>
      <c r="L1186" s="215">
        <f t="shared" si="70"/>
        <v>65.799899999999994</v>
      </c>
      <c r="M1186" s="38">
        <f t="shared" si="71"/>
        <v>17.27</v>
      </c>
      <c r="N1186" s="269">
        <f t="shared" si="72"/>
        <v>42.51</v>
      </c>
    </row>
    <row r="1187" spans="2:14" ht="20.100000000000001" customHeight="1">
      <c r="B1187" s="260" t="s">
        <v>287</v>
      </c>
      <c r="D1187" s="35" t="str">
        <f t="shared" si="69"/>
        <v>ROLO COMPACTADOR PÉ DE CARNEIRO VIBRATORIO 11,25 t ( 85 KW)</v>
      </c>
      <c r="E1187" s="36"/>
      <c r="F1187" s="36"/>
      <c r="G1187" s="36"/>
      <c r="H1187" s="37"/>
      <c r="I1187" s="215">
        <v>1</v>
      </c>
      <c r="J1187" s="38">
        <v>1</v>
      </c>
      <c r="K1187" s="38">
        <f t="shared" si="73"/>
        <v>0</v>
      </c>
      <c r="L1187" s="215">
        <f t="shared" si="70"/>
        <v>113.04</v>
      </c>
      <c r="M1187" s="38">
        <f t="shared" si="71"/>
        <v>17.27</v>
      </c>
      <c r="N1187" s="269">
        <f t="shared" si="72"/>
        <v>113.04</v>
      </c>
    </row>
    <row r="1188" spans="2:14" ht="20.100000000000001" customHeight="1">
      <c r="B1188" s="260" t="s">
        <v>278</v>
      </c>
      <c r="D1188" s="35" t="str">
        <f t="shared" si="69"/>
        <v>GRADE DE DISCO - GA 24 x 24</v>
      </c>
      <c r="E1188" s="36"/>
      <c r="F1188" s="36"/>
      <c r="G1188" s="36"/>
      <c r="H1188" s="37"/>
      <c r="I1188" s="55">
        <v>1</v>
      </c>
      <c r="J1188" s="39">
        <v>0.52</v>
      </c>
      <c r="K1188" s="38">
        <f t="shared" si="73"/>
        <v>0.48</v>
      </c>
      <c r="L1188" s="215">
        <f t="shared" si="70"/>
        <v>2.58</v>
      </c>
      <c r="M1188" s="38">
        <f t="shared" si="71"/>
        <v>0</v>
      </c>
      <c r="N1188" s="269">
        <f t="shared" si="72"/>
        <v>1.34</v>
      </c>
    </row>
    <row r="1189" spans="2:14" ht="20.100000000000001" customHeight="1">
      <c r="B1189" s="260" t="s">
        <v>285</v>
      </c>
      <c r="D1189" s="35" t="str">
        <f t="shared" si="69"/>
        <v>ROLO COMPACTADOR DE PNEUS 21 t (97 KW)</v>
      </c>
      <c r="E1189" s="36"/>
      <c r="F1189" s="36"/>
      <c r="G1189" s="36"/>
      <c r="H1189" s="37"/>
      <c r="I1189" s="55">
        <v>1</v>
      </c>
      <c r="J1189" s="39">
        <v>0.78</v>
      </c>
      <c r="K1189" s="38">
        <f t="shared" si="73"/>
        <v>0.21999999999999997</v>
      </c>
      <c r="L1189" s="215">
        <f t="shared" si="70"/>
        <v>96.39</v>
      </c>
      <c r="M1189" s="38">
        <f t="shared" si="71"/>
        <v>17.27</v>
      </c>
      <c r="N1189" s="269">
        <f t="shared" si="72"/>
        <v>78.98</v>
      </c>
    </row>
    <row r="1190" spans="2:14" ht="20.100000000000001" customHeight="1">
      <c r="B1190" s="260" t="s">
        <v>262</v>
      </c>
      <c r="D1190" s="35" t="str">
        <f t="shared" si="69"/>
        <v>CAMINHÃO BASCULANTE 10m3 - 15 T (170 KW)</v>
      </c>
      <c r="E1190" s="36"/>
      <c r="F1190" s="36"/>
      <c r="G1190" s="36"/>
      <c r="H1190" s="37"/>
      <c r="I1190" s="55">
        <v>1.49</v>
      </c>
      <c r="J1190" s="38">
        <v>1</v>
      </c>
      <c r="K1190" s="38">
        <f t="shared" si="73"/>
        <v>0</v>
      </c>
      <c r="L1190" s="215">
        <f t="shared" si="70"/>
        <v>135.83000000000001</v>
      </c>
      <c r="M1190" s="38">
        <f t="shared" si="71"/>
        <v>20.47</v>
      </c>
      <c r="N1190" s="269">
        <f t="shared" si="72"/>
        <v>202.39</v>
      </c>
    </row>
    <row r="1191" spans="2:14" ht="20.100000000000001" customHeight="1">
      <c r="B1191" s="260" t="s">
        <v>265</v>
      </c>
      <c r="D1191" s="35" t="str">
        <f t="shared" si="69"/>
        <v>CAMINHÃO TANQUE 10.000 l</v>
      </c>
      <c r="E1191" s="36"/>
      <c r="F1191" s="36"/>
      <c r="G1191" s="36"/>
      <c r="H1191" s="37"/>
      <c r="I1191" s="55">
        <v>1.08</v>
      </c>
      <c r="J1191" s="38">
        <v>1</v>
      </c>
      <c r="K1191" s="38">
        <f t="shared" si="73"/>
        <v>0</v>
      </c>
      <c r="L1191" s="215">
        <f t="shared" si="70"/>
        <v>126.87</v>
      </c>
      <c r="M1191" s="38">
        <f t="shared" si="71"/>
        <v>20.47</v>
      </c>
      <c r="N1191" s="269">
        <f t="shared" si="72"/>
        <v>137.02000000000001</v>
      </c>
    </row>
    <row r="1192" spans="2:14" ht="20.100000000000001" customHeight="1">
      <c r="D1192" s="155"/>
      <c r="E1192" s="156"/>
      <c r="F1192" s="156"/>
      <c r="G1192" s="156"/>
      <c r="H1192" s="156"/>
      <c r="I1192" s="235"/>
      <c r="J1192" s="157"/>
      <c r="K1192" s="157"/>
      <c r="L1192" s="216"/>
      <c r="M1192" s="42" t="s">
        <v>89</v>
      </c>
      <c r="N1192" s="401">
        <f>SUM(N1185:N1191)</f>
        <v>699.58999999999992</v>
      </c>
    </row>
    <row r="1193" spans="2:14" ht="3.95" customHeight="1">
      <c r="D1193" s="158"/>
      <c r="E1193" s="159"/>
      <c r="F1193" s="159"/>
      <c r="G1193" s="160"/>
      <c r="H1193" s="159"/>
      <c r="I1193" s="236"/>
      <c r="J1193" s="161"/>
      <c r="K1193" s="162"/>
      <c r="L1193" s="163"/>
      <c r="M1193" s="163"/>
      <c r="N1193" s="300"/>
    </row>
    <row r="1194" spans="2:14" ht="20.100000000000001" customHeight="1">
      <c r="D1194" s="518" t="s">
        <v>90</v>
      </c>
      <c r="E1194" s="519"/>
      <c r="F1194" s="519"/>
      <c r="G1194" s="519"/>
      <c r="H1194" s="519"/>
      <c r="I1194" s="519"/>
      <c r="J1194" s="513"/>
      <c r="K1194" s="50" t="s">
        <v>91</v>
      </c>
      <c r="L1194" s="51" t="s">
        <v>92</v>
      </c>
      <c r="M1194" s="51" t="s">
        <v>93</v>
      </c>
      <c r="N1194" s="272" t="s">
        <v>94</v>
      </c>
    </row>
    <row r="1195" spans="2:14" ht="20.100000000000001" customHeight="1">
      <c r="B1195" s="260" t="s">
        <v>250</v>
      </c>
      <c r="D1195" s="52" t="str">
        <f>IF(B1195=0,0,VLOOKUP(B1195,MO,2,FALSE))</f>
        <v>ENCARREGADO DE PAVIMENTAÇÃO</v>
      </c>
      <c r="E1195" s="53"/>
      <c r="F1195" s="53"/>
      <c r="G1195" s="53"/>
      <c r="H1195" s="53"/>
      <c r="I1195" s="36"/>
      <c r="J1195" s="54"/>
      <c r="K1195" s="152"/>
      <c r="L1195" s="164">
        <v>1</v>
      </c>
      <c r="M1195" s="55">
        <f>IF(B1195=0,0,VLOOKUP(B1195,MO,6,FALSE))</f>
        <v>44.786799999999999</v>
      </c>
      <c r="N1195" s="301">
        <f>ROUND(L1195*M1195,2)</f>
        <v>44.79</v>
      </c>
    </row>
    <row r="1196" spans="2:14" ht="20.100000000000001" customHeight="1">
      <c r="B1196" s="260" t="s">
        <v>248</v>
      </c>
      <c r="D1196" s="52" t="str">
        <f>IF(B1196=0,0,VLOOKUP(B1196,MO,2,FALSE))</f>
        <v>SERVENTE</v>
      </c>
      <c r="E1196" s="53"/>
      <c r="F1196" s="53"/>
      <c r="G1196" s="53"/>
      <c r="H1196" s="53"/>
      <c r="I1196" s="36"/>
      <c r="J1196" s="54"/>
      <c r="K1196" s="152"/>
      <c r="L1196" s="164">
        <v>3</v>
      </c>
      <c r="M1196" s="55">
        <f>IF(B1196=0,0,VLOOKUP(B1196,MO,6,FALSE))</f>
        <v>7.9973000000000001</v>
      </c>
      <c r="N1196" s="301">
        <f>ROUND(L1196*M1196,2)</f>
        <v>23.99</v>
      </c>
    </row>
    <row r="1197" spans="2:14" ht="20.100000000000001" customHeight="1">
      <c r="B1197" s="260"/>
      <c r="D1197" s="52" t="s">
        <v>122</v>
      </c>
      <c r="E1197" s="53"/>
      <c r="F1197" s="53"/>
      <c r="G1197" s="53"/>
      <c r="H1197" s="53"/>
      <c r="I1197" s="36"/>
      <c r="J1197" s="54"/>
      <c r="K1197" s="165">
        <v>0</v>
      </c>
      <c r="L1197" s="166">
        <f>N1195+N1196</f>
        <v>68.78</v>
      </c>
      <c r="M1197" s="164"/>
      <c r="N1197" s="316">
        <f>ROUND(L1197*K1197,2)</f>
        <v>0</v>
      </c>
    </row>
    <row r="1198" spans="2:14" ht="20.100000000000001" customHeight="1">
      <c r="D1198" s="167"/>
      <c r="E1198" s="59"/>
      <c r="F1198" s="168"/>
      <c r="G1198" s="168"/>
      <c r="H1198" s="159"/>
      <c r="I1198" s="236"/>
      <c r="J1198" s="169"/>
      <c r="K1198" s="162"/>
      <c r="L1198" s="163"/>
      <c r="M1198" s="62" t="s">
        <v>98</v>
      </c>
      <c r="N1198" s="302">
        <f>SUM(N1195:N1197)</f>
        <v>68.78</v>
      </c>
    </row>
    <row r="1199" spans="2:14" ht="3.95" customHeight="1">
      <c r="D1199" s="158"/>
      <c r="E1199" s="159"/>
      <c r="F1199" s="159"/>
      <c r="G1199" s="159"/>
      <c r="H1199" s="159"/>
      <c r="I1199" s="236"/>
      <c r="J1199" s="169"/>
      <c r="K1199" s="162"/>
      <c r="L1199" s="163"/>
      <c r="M1199" s="163"/>
      <c r="N1199" s="300"/>
    </row>
    <row r="1200" spans="2:14" ht="20.100000000000001" customHeight="1">
      <c r="D1200" s="170"/>
      <c r="E1200" s="168"/>
      <c r="F1200" s="168"/>
      <c r="G1200" s="168"/>
      <c r="H1200" s="171"/>
      <c r="I1200" s="237"/>
      <c r="J1200" s="171"/>
      <c r="K1200" s="509" t="s">
        <v>99</v>
      </c>
      <c r="L1200" s="510"/>
      <c r="M1200" s="511"/>
      <c r="N1200" s="303">
        <f>+N1192+N1198</f>
        <v>768.36999999999989</v>
      </c>
    </row>
    <row r="1201" spans="2:14" ht="3.95" customHeight="1">
      <c r="D1201" s="172"/>
      <c r="E1201" s="159"/>
      <c r="F1201" s="159"/>
      <c r="G1201" s="160"/>
      <c r="H1201" s="159"/>
      <c r="I1201" s="236"/>
      <c r="J1201" s="161"/>
      <c r="K1201" s="162"/>
      <c r="L1201" s="163"/>
      <c r="M1201" s="163"/>
      <c r="N1201" s="300"/>
    </row>
    <row r="1202" spans="2:14" ht="20.100000000000001" customHeight="1">
      <c r="D1202" s="167"/>
      <c r="E1202" s="509" t="s">
        <v>100</v>
      </c>
      <c r="F1202" s="510"/>
      <c r="G1202" s="510"/>
      <c r="H1202" s="511"/>
      <c r="I1202" s="238">
        <v>175</v>
      </c>
      <c r="J1202" s="163"/>
      <c r="K1202" s="506" t="s">
        <v>101</v>
      </c>
      <c r="L1202" s="507"/>
      <c r="M1202" s="508"/>
      <c r="N1202" s="304">
        <f>ROUND(N1200/I1202,2)</f>
        <v>4.3899999999999997</v>
      </c>
    </row>
    <row r="1203" spans="2:14" ht="3.95" customHeight="1">
      <c r="D1203" s="158"/>
      <c r="E1203" s="159"/>
      <c r="F1203" s="159"/>
      <c r="G1203" s="173"/>
      <c r="H1203" s="159"/>
      <c r="I1203" s="163"/>
      <c r="J1203" s="161"/>
      <c r="K1203" s="161"/>
      <c r="L1203" s="163"/>
      <c r="M1203" s="161"/>
      <c r="N1203" s="305"/>
    </row>
    <row r="1204" spans="2:14" ht="20.100000000000001" customHeight="1">
      <c r="D1204" s="49" t="s">
        <v>102</v>
      </c>
      <c r="E1204" s="22"/>
      <c r="F1204" s="22"/>
      <c r="G1204" s="22"/>
      <c r="H1204" s="22"/>
      <c r="I1204" s="141"/>
      <c r="J1204" s="23"/>
      <c r="K1204" s="50" t="s">
        <v>103</v>
      </c>
      <c r="L1204" s="51" t="s">
        <v>80</v>
      </c>
      <c r="M1204" s="51" t="s">
        <v>104</v>
      </c>
      <c r="N1204" s="272" t="s">
        <v>105</v>
      </c>
    </row>
    <row r="1205" spans="2:14" ht="20.100000000000001" customHeight="1">
      <c r="B1205" s="260" t="s">
        <v>308</v>
      </c>
      <c r="D1205" s="52" t="str">
        <f>IF(B1205=0,0,VLOOKUP(B1205,MAT,3,FALSE))</f>
        <v>ESCAVAÇÃO E CARGA DE MATERIAL DE JAZIDA (CONSV)</v>
      </c>
      <c r="E1205" s="53"/>
      <c r="F1205" s="53"/>
      <c r="G1205" s="53"/>
      <c r="H1205" s="53"/>
      <c r="I1205" s="36"/>
      <c r="J1205" s="54"/>
      <c r="K1205" s="66" t="str">
        <f>IF(B1205=0,0,VLOOKUP(B1205,MAT,5,FALSE))</f>
        <v>M3</v>
      </c>
      <c r="L1205" s="55">
        <f>IF(B1205=0,0,VLOOKUP(B1205,MAT,6,FALSE))</f>
        <v>7.82</v>
      </c>
      <c r="M1205" s="433">
        <v>1.2</v>
      </c>
      <c r="N1205" s="301">
        <f>ROUND(L1205*M1205,2)</f>
        <v>9.3800000000000008</v>
      </c>
    </row>
    <row r="1206" spans="2:14" ht="20.100000000000001" customHeight="1">
      <c r="B1206" s="260"/>
      <c r="D1206" s="383">
        <f>IF(B1206=0,0,VLOOKUP(B1206,MAT,3,FALSE))</f>
        <v>0</v>
      </c>
      <c r="E1206" s="384"/>
      <c r="F1206" s="384"/>
      <c r="G1206" s="384"/>
      <c r="H1206" s="384"/>
      <c r="I1206" s="384"/>
      <c r="J1206" s="385"/>
      <c r="K1206" s="386">
        <f>IF(B1206=0,0,VLOOKUP(B1206,MAT,5,FALSE))</f>
        <v>0</v>
      </c>
      <c r="L1206" s="387">
        <f>IF(B1206=0,0,VLOOKUP(B1206,MAT,6,FALSE))</f>
        <v>0</v>
      </c>
      <c r="M1206" s="396"/>
      <c r="N1206" s="397">
        <f>ROUND(L1206*M1206,2)</f>
        <v>0</v>
      </c>
    </row>
    <row r="1207" spans="2:14" ht="20.100000000000001" customHeight="1">
      <c r="B1207" s="260"/>
      <c r="D1207" s="383">
        <f>IF(B1207=0,0,VLOOKUP(B1207,MAT,3,FALSE))</f>
        <v>0</v>
      </c>
      <c r="E1207" s="384"/>
      <c r="F1207" s="384"/>
      <c r="G1207" s="384"/>
      <c r="H1207" s="384"/>
      <c r="I1207" s="384"/>
      <c r="J1207" s="385"/>
      <c r="K1207" s="386">
        <f>IF(B1207=0,0,VLOOKUP(B1207,MAT,5,FALSE))</f>
        <v>0</v>
      </c>
      <c r="L1207" s="387">
        <f>IF(B1207=0,0,VLOOKUP(B1207,MAT,6,FALSE))</f>
        <v>0</v>
      </c>
      <c r="M1207" s="396"/>
      <c r="N1207" s="397">
        <f>ROUND(L1207*M1207,2)</f>
        <v>0</v>
      </c>
    </row>
    <row r="1208" spans="2:14" ht="20.100000000000001" customHeight="1">
      <c r="D1208" s="158"/>
      <c r="E1208" s="159"/>
      <c r="F1208" s="159"/>
      <c r="G1208" s="173"/>
      <c r="H1208" s="159"/>
      <c r="I1208" s="163"/>
      <c r="J1208" s="161"/>
      <c r="K1208" s="161"/>
      <c r="L1208" s="163"/>
      <c r="M1208" s="71" t="s">
        <v>106</v>
      </c>
      <c r="N1208" s="302">
        <f>SUM(N1205:N1207)</f>
        <v>9.3800000000000008</v>
      </c>
    </row>
    <row r="1209" spans="2:14" ht="20.100000000000001" customHeight="1">
      <c r="D1209" s="158"/>
      <c r="E1209" s="159"/>
      <c r="F1209" s="159"/>
      <c r="G1209" s="173"/>
      <c r="H1209" s="159"/>
      <c r="I1209" s="163"/>
      <c r="J1209" s="161"/>
      <c r="K1209" s="161"/>
      <c r="L1209" s="163"/>
      <c r="M1209" s="161"/>
      <c r="N1209" s="305"/>
    </row>
    <row r="1210" spans="2:14" ht="20.100000000000001" customHeight="1">
      <c r="D1210" s="527" t="s">
        <v>107</v>
      </c>
      <c r="E1210" s="72" t="s">
        <v>2</v>
      </c>
      <c r="F1210" s="73"/>
      <c r="G1210" s="73"/>
      <c r="H1210" s="74"/>
      <c r="I1210" s="498" t="s">
        <v>108</v>
      </c>
      <c r="J1210" s="499"/>
      <c r="K1210" s="531" t="s">
        <v>103</v>
      </c>
      <c r="L1210" s="514" t="s">
        <v>80</v>
      </c>
      <c r="M1210" s="531" t="s">
        <v>109</v>
      </c>
      <c r="N1210" s="529" t="s">
        <v>105</v>
      </c>
    </row>
    <row r="1211" spans="2:14" ht="20.100000000000001" customHeight="1">
      <c r="D1211" s="528"/>
      <c r="E1211" s="512" t="s">
        <v>110</v>
      </c>
      <c r="F1211" s="513"/>
      <c r="G1211" s="512" t="s">
        <v>111</v>
      </c>
      <c r="H1211" s="513"/>
      <c r="I1211" s="500"/>
      <c r="J1211" s="501"/>
      <c r="K1211" s="532"/>
      <c r="L1211" s="515"/>
      <c r="M1211" s="532"/>
      <c r="N1211" s="530"/>
    </row>
    <row r="1212" spans="2:14" ht="18.75" customHeight="1">
      <c r="B1212" s="260" t="s">
        <v>333</v>
      </c>
      <c r="D1212" s="268" t="str">
        <f>IF(B1212=0,0,VLOOKUP(B1212,TRANS,3,FALSE))</f>
        <v>MATERIAL DE JAZIDA</v>
      </c>
      <c r="E1212" s="504">
        <f>IF(B1212=0,0,VLOOKUP(B1212,TRANS,5,FALSE))</f>
        <v>0.44</v>
      </c>
      <c r="F1212" s="505"/>
      <c r="G1212" s="502"/>
      <c r="H1212" s="503"/>
      <c r="I1212" s="496">
        <f>IF(B1212=0,0,VLOOKUP(B1212,TRANS,6,FALSE))</f>
        <v>15</v>
      </c>
      <c r="J1212" s="497"/>
      <c r="K1212" s="262" t="str">
        <f>IF(B1212=0,0,VLOOKUP(B1212,TRANS,4,FALSE))</f>
        <v>T.KM</v>
      </c>
      <c r="L1212" s="55">
        <f>E1212*I1212</f>
        <v>6.6</v>
      </c>
      <c r="M1212" s="432">
        <v>1.93</v>
      </c>
      <c r="N1212" s="278">
        <f>ROUND(L1212*M1212,2)</f>
        <v>12.74</v>
      </c>
    </row>
    <row r="1213" spans="2:14" ht="20.100000000000001" customHeight="1">
      <c r="B1213" s="260"/>
      <c r="D1213" s="268"/>
      <c r="E1213" s="504"/>
      <c r="F1213" s="505"/>
      <c r="G1213" s="502"/>
      <c r="H1213" s="503"/>
      <c r="I1213" s="533"/>
      <c r="J1213" s="534"/>
      <c r="K1213" s="66"/>
      <c r="L1213" s="67"/>
      <c r="M1213" s="70"/>
      <c r="N1213" s="278"/>
    </row>
    <row r="1214" spans="2:14" ht="20.100000000000001" customHeight="1">
      <c r="D1214" s="175"/>
      <c r="E1214" s="176"/>
      <c r="F1214" s="159"/>
      <c r="G1214" s="173"/>
      <c r="H1214" s="159"/>
      <c r="I1214" s="163"/>
      <c r="J1214" s="161"/>
      <c r="K1214" s="161"/>
      <c r="L1214" s="163"/>
      <c r="M1214" s="71" t="s">
        <v>112</v>
      </c>
      <c r="N1214" s="302">
        <f>SUM(N1212:N1213)</f>
        <v>12.74</v>
      </c>
    </row>
    <row r="1215" spans="2:14" ht="3.95" customHeight="1" thickBot="1">
      <c r="D1215" s="175"/>
      <c r="E1215" s="159"/>
      <c r="F1215" s="173"/>
      <c r="G1215" s="159"/>
      <c r="H1215" s="161"/>
      <c r="I1215" s="163"/>
      <c r="J1215" s="161"/>
      <c r="K1215" s="161"/>
      <c r="L1215" s="163"/>
      <c r="M1215" s="161"/>
      <c r="N1215" s="305"/>
    </row>
    <row r="1216" spans="2:14" ht="20.100000000000001" customHeight="1">
      <c r="D1216" s="177"/>
      <c r="E1216" s="178"/>
      <c r="F1216" s="178"/>
      <c r="G1216" s="178"/>
      <c r="H1216" s="179"/>
      <c r="I1216" s="239"/>
      <c r="J1216" s="127" t="s">
        <v>114</v>
      </c>
      <c r="K1216" s="128"/>
      <c r="L1216" s="306"/>
      <c r="M1216" s="129">
        <v>0.02</v>
      </c>
      <c r="N1216" s="307">
        <f>(+N1202+N1208+N1214)*M1216</f>
        <v>0.5302</v>
      </c>
    </row>
    <row r="1217" spans="2:15" ht="20.100000000000001" customHeight="1" thickBot="1">
      <c r="D1217" s="180"/>
      <c r="E1217" s="181"/>
      <c r="F1217" s="181"/>
      <c r="G1217" s="181"/>
      <c r="H1217" s="181"/>
      <c r="I1217" s="240"/>
      <c r="J1217" s="537" t="s">
        <v>149</v>
      </c>
      <c r="K1217" s="538"/>
      <c r="L1217" s="538"/>
      <c r="M1217" s="538"/>
      <c r="N1217" s="308">
        <f>+N1202+N1208+N1214+N1216</f>
        <v>27.040199999999999</v>
      </c>
    </row>
    <row r="1218" spans="2:15" ht="20.100000000000001" customHeight="1" thickBot="1">
      <c r="D1218" s="182"/>
      <c r="E1218" s="183"/>
      <c r="F1218" s="183"/>
      <c r="G1218" s="183"/>
      <c r="H1218" s="183"/>
      <c r="I1218" s="241"/>
      <c r="J1218" s="184" t="s">
        <v>158</v>
      </c>
      <c r="K1218" s="185"/>
      <c r="L1218" s="309"/>
      <c r="M1218" s="186">
        <f>DI</f>
        <v>0.26700000000000002</v>
      </c>
      <c r="N1218" s="310">
        <f>(M1218*N1217)+N1217</f>
        <v>34.259933400000001</v>
      </c>
    </row>
    <row r="1219" spans="2:15" s="192" customFormat="1" ht="20.100000000000001" customHeight="1">
      <c r="B1219" s="198"/>
      <c r="C1219" s="198"/>
      <c r="D1219" s="193"/>
      <c r="E1219" s="193"/>
      <c r="F1219" s="193"/>
      <c r="G1219" s="193"/>
      <c r="H1219" s="194"/>
      <c r="I1219" s="242"/>
      <c r="J1219" s="193"/>
      <c r="K1219" s="193"/>
      <c r="L1219" s="242"/>
      <c r="M1219" s="193"/>
      <c r="N1219" s="242"/>
      <c r="O1219" s="390"/>
    </row>
    <row r="1220" spans="2:15" s="192" customFormat="1" ht="20.100000000000001" customHeight="1">
      <c r="B1220" s="198"/>
      <c r="C1220" s="198"/>
      <c r="D1220" s="193"/>
      <c r="E1220" s="193"/>
      <c r="F1220" s="193"/>
      <c r="G1220" s="193"/>
      <c r="H1220" s="194"/>
      <c r="I1220" s="242"/>
      <c r="J1220" s="193"/>
      <c r="K1220" s="193"/>
      <c r="L1220" s="242"/>
      <c r="M1220" s="193"/>
      <c r="N1220" s="242"/>
      <c r="O1220" s="390"/>
    </row>
    <row r="1221" spans="2:15" s="192" customFormat="1" ht="20.100000000000001" customHeight="1" thickBot="1">
      <c r="B1221" s="198"/>
      <c r="C1221" s="198"/>
      <c r="D1221" s="193"/>
      <c r="E1221" s="193"/>
      <c r="F1221" s="193"/>
      <c r="G1221" s="193"/>
      <c r="H1221" s="194"/>
      <c r="I1221" s="242"/>
      <c r="J1221" s="193"/>
      <c r="K1221" s="193"/>
      <c r="L1221" s="242"/>
      <c r="M1221" s="193"/>
      <c r="N1221" s="242"/>
      <c r="O1221" s="390"/>
    </row>
    <row r="1222" spans="2:15" ht="20.100000000000001" customHeight="1">
      <c r="B1222" s="197" t="s">
        <v>206</v>
      </c>
      <c r="D1222" s="520"/>
      <c r="E1222" s="521"/>
      <c r="F1222" s="524" t="s">
        <v>74</v>
      </c>
      <c r="G1222" s="525"/>
      <c r="H1222" s="525"/>
      <c r="I1222" s="525"/>
      <c r="J1222" s="525"/>
      <c r="K1222" s="525"/>
      <c r="L1222" s="526"/>
      <c r="M1222" s="19" t="s">
        <v>75</v>
      </c>
      <c r="N1222" s="20" t="s">
        <v>76</v>
      </c>
    </row>
    <row r="1223" spans="2:15" ht="20.100000000000001" customHeight="1">
      <c r="D1223" s="522"/>
      <c r="E1223" s="523"/>
      <c r="F1223" s="512" t="str">
        <f>VLOOKUP(B1222,Resumo_Composições,3,FALSE)</f>
        <v>BASE SOLO ESTABILIZADO GRANULOMETRICAMENTE S/MISTURA</v>
      </c>
      <c r="G1223" s="519"/>
      <c r="H1223" s="519"/>
      <c r="I1223" s="519"/>
      <c r="J1223" s="519"/>
      <c r="K1223" s="519"/>
      <c r="L1223" s="513"/>
      <c r="M1223" s="24" t="str">
        <f>VLOOKUP(B1222,Resumo_Composições,4,FALSE)</f>
        <v>M3</v>
      </c>
      <c r="N1223" s="25">
        <f>DATA</f>
        <v>41214</v>
      </c>
    </row>
    <row r="1224" spans="2:15" ht="20.100000000000001" customHeight="1">
      <c r="D1224" s="26" t="s">
        <v>77</v>
      </c>
      <c r="E1224" s="27"/>
      <c r="F1224" s="27"/>
      <c r="G1224" s="27"/>
      <c r="H1224" s="28"/>
      <c r="I1224" s="214" t="s">
        <v>78</v>
      </c>
      <c r="J1224" s="509" t="s">
        <v>79</v>
      </c>
      <c r="K1224" s="511"/>
      <c r="L1224" s="535" t="s">
        <v>80</v>
      </c>
      <c r="M1224" s="536"/>
      <c r="N1224" s="516" t="s">
        <v>81</v>
      </c>
    </row>
    <row r="1225" spans="2:15" ht="20.100000000000001" customHeight="1">
      <c r="D1225" s="31"/>
      <c r="E1225" s="32"/>
      <c r="F1225" s="32"/>
      <c r="G1225" s="32"/>
      <c r="H1225" s="33"/>
      <c r="I1225" s="34"/>
      <c r="J1225" s="51" t="s">
        <v>82</v>
      </c>
      <c r="K1225" s="51" t="s">
        <v>83</v>
      </c>
      <c r="L1225" s="51" t="s">
        <v>82</v>
      </c>
      <c r="M1225" s="51" t="s">
        <v>84</v>
      </c>
      <c r="N1225" s="517"/>
    </row>
    <row r="1226" spans="2:15" ht="20.100000000000001" customHeight="1">
      <c r="B1226" s="260" t="s">
        <v>281</v>
      </c>
      <c r="D1226" s="35" t="str">
        <f t="shared" ref="D1226:D1232" si="74">IF(B1226=0,0,VLOOKUP(B1226,EQUIP,3,FALSE))</f>
        <v>MOTONIVELADORA - 93 KW</v>
      </c>
      <c r="E1226" s="36"/>
      <c r="F1226" s="36"/>
      <c r="G1226" s="36"/>
      <c r="H1226" s="37"/>
      <c r="I1226" s="215">
        <v>1</v>
      </c>
      <c r="J1226" s="38">
        <v>0.78</v>
      </c>
      <c r="K1226" s="38">
        <f>1-J1226</f>
        <v>0.21999999999999997</v>
      </c>
      <c r="L1226" s="215">
        <f t="shared" ref="L1226:L1232" si="75">IF(B1226=0,0,VLOOKUP(B1226,EQUIP,6,FALSE))</f>
        <v>153.06</v>
      </c>
      <c r="M1226" s="38">
        <f t="shared" ref="M1226:M1232" si="76">IF(B1226=0,0,VLOOKUP(B1226,EQUIP,7,FALSE))</f>
        <v>22.39</v>
      </c>
      <c r="N1226" s="269">
        <f>ROUND(I1226*J1226*L1226+K1226*M1226,2)</f>
        <v>124.31</v>
      </c>
    </row>
    <row r="1227" spans="2:15" ht="20.100000000000001" customHeight="1">
      <c r="B1227" s="260" t="s">
        <v>292</v>
      </c>
      <c r="D1227" s="35" t="str">
        <f t="shared" si="74"/>
        <v>TRATOR AGRICOLA (77 KW)</v>
      </c>
      <c r="E1227" s="36"/>
      <c r="F1227" s="36"/>
      <c r="G1227" s="36"/>
      <c r="H1227" s="37"/>
      <c r="I1227" s="55">
        <v>1</v>
      </c>
      <c r="J1227" s="39">
        <v>0.52</v>
      </c>
      <c r="K1227" s="38">
        <f t="shared" ref="K1227:K1232" si="77">1-J1227</f>
        <v>0.48</v>
      </c>
      <c r="L1227" s="215">
        <f t="shared" si="75"/>
        <v>65.799899999999994</v>
      </c>
      <c r="M1227" s="38">
        <f t="shared" si="76"/>
        <v>17.27</v>
      </c>
      <c r="N1227" s="269">
        <f t="shared" ref="N1227:N1232" si="78">ROUND(I1227*J1227*L1227+K1227*M1227,2)</f>
        <v>42.51</v>
      </c>
    </row>
    <row r="1228" spans="2:15" ht="20.100000000000001" customHeight="1">
      <c r="B1228" s="260" t="s">
        <v>287</v>
      </c>
      <c r="D1228" s="35" t="str">
        <f t="shared" si="74"/>
        <v>ROLO COMPACTADOR PÉ DE CARNEIRO VIBRATORIO 11,25 t ( 85 KW)</v>
      </c>
      <c r="E1228" s="36"/>
      <c r="F1228" s="36"/>
      <c r="G1228" s="36"/>
      <c r="H1228" s="37"/>
      <c r="I1228" s="215">
        <v>1</v>
      </c>
      <c r="J1228" s="38">
        <v>1</v>
      </c>
      <c r="K1228" s="38">
        <f t="shared" si="77"/>
        <v>0</v>
      </c>
      <c r="L1228" s="215">
        <f t="shared" si="75"/>
        <v>113.04</v>
      </c>
      <c r="M1228" s="38">
        <f t="shared" si="76"/>
        <v>17.27</v>
      </c>
      <c r="N1228" s="269">
        <f t="shared" si="78"/>
        <v>113.04</v>
      </c>
    </row>
    <row r="1229" spans="2:15" ht="20.100000000000001" customHeight="1">
      <c r="B1229" s="260" t="s">
        <v>278</v>
      </c>
      <c r="D1229" s="35" t="str">
        <f t="shared" si="74"/>
        <v>GRADE DE DISCO - GA 24 x 24</v>
      </c>
      <c r="E1229" s="36"/>
      <c r="F1229" s="36"/>
      <c r="G1229" s="36"/>
      <c r="H1229" s="37"/>
      <c r="I1229" s="55">
        <v>1</v>
      </c>
      <c r="J1229" s="39">
        <v>0.52</v>
      </c>
      <c r="K1229" s="38">
        <f t="shared" si="77"/>
        <v>0.48</v>
      </c>
      <c r="L1229" s="215">
        <f t="shared" si="75"/>
        <v>2.58</v>
      </c>
      <c r="M1229" s="38">
        <f t="shared" si="76"/>
        <v>0</v>
      </c>
      <c r="N1229" s="269">
        <f t="shared" si="78"/>
        <v>1.34</v>
      </c>
    </row>
    <row r="1230" spans="2:15" ht="20.100000000000001" customHeight="1">
      <c r="B1230" s="260" t="s">
        <v>285</v>
      </c>
      <c r="D1230" s="35" t="str">
        <f t="shared" si="74"/>
        <v>ROLO COMPACTADOR DE PNEUS 21 t (97 KW)</v>
      </c>
      <c r="E1230" s="36"/>
      <c r="F1230" s="36"/>
      <c r="G1230" s="36"/>
      <c r="H1230" s="37"/>
      <c r="I1230" s="55">
        <v>1</v>
      </c>
      <c r="J1230" s="39">
        <v>0.78</v>
      </c>
      <c r="K1230" s="38">
        <f t="shared" si="77"/>
        <v>0.21999999999999997</v>
      </c>
      <c r="L1230" s="215">
        <f t="shared" si="75"/>
        <v>96.39</v>
      </c>
      <c r="M1230" s="38">
        <f t="shared" si="76"/>
        <v>17.27</v>
      </c>
      <c r="N1230" s="269">
        <f t="shared" si="78"/>
        <v>78.98</v>
      </c>
    </row>
    <row r="1231" spans="2:15" ht="20.100000000000001" customHeight="1">
      <c r="B1231" s="260" t="s">
        <v>262</v>
      </c>
      <c r="D1231" s="35" t="str">
        <f t="shared" si="74"/>
        <v>CAMINHÃO BASCULANTE 10m3 - 15 T (170 KW)</v>
      </c>
      <c r="E1231" s="36"/>
      <c r="F1231" s="36"/>
      <c r="G1231" s="36"/>
      <c r="H1231" s="37"/>
      <c r="I1231" s="55">
        <v>1.49</v>
      </c>
      <c r="J1231" s="38">
        <v>1</v>
      </c>
      <c r="K1231" s="38">
        <f t="shared" si="77"/>
        <v>0</v>
      </c>
      <c r="L1231" s="215">
        <f t="shared" si="75"/>
        <v>135.83000000000001</v>
      </c>
      <c r="M1231" s="38">
        <f t="shared" si="76"/>
        <v>20.47</v>
      </c>
      <c r="N1231" s="269">
        <f t="shared" si="78"/>
        <v>202.39</v>
      </c>
    </row>
    <row r="1232" spans="2:15" ht="20.100000000000001" customHeight="1">
      <c r="B1232" s="260" t="s">
        <v>265</v>
      </c>
      <c r="D1232" s="35" t="str">
        <f t="shared" si="74"/>
        <v>CAMINHÃO TANQUE 10.000 l</v>
      </c>
      <c r="E1232" s="36"/>
      <c r="F1232" s="36"/>
      <c r="G1232" s="36"/>
      <c r="H1232" s="37"/>
      <c r="I1232" s="55">
        <v>1.08</v>
      </c>
      <c r="J1232" s="38">
        <v>1</v>
      </c>
      <c r="K1232" s="38">
        <f t="shared" si="77"/>
        <v>0</v>
      </c>
      <c r="L1232" s="215">
        <f t="shared" si="75"/>
        <v>126.87</v>
      </c>
      <c r="M1232" s="38">
        <f t="shared" si="76"/>
        <v>20.47</v>
      </c>
      <c r="N1232" s="269">
        <f t="shared" si="78"/>
        <v>137.02000000000001</v>
      </c>
    </row>
    <row r="1233" spans="2:14" ht="20.100000000000001" customHeight="1">
      <c r="D1233" s="155"/>
      <c r="E1233" s="156"/>
      <c r="F1233" s="156"/>
      <c r="G1233" s="156"/>
      <c r="H1233" s="156"/>
      <c r="I1233" s="235"/>
      <c r="J1233" s="157"/>
      <c r="K1233" s="157"/>
      <c r="L1233" s="216"/>
      <c r="M1233" s="42" t="s">
        <v>89</v>
      </c>
      <c r="N1233" s="270">
        <f>SUM(N1226:N1232)</f>
        <v>699.58999999999992</v>
      </c>
    </row>
    <row r="1234" spans="2:14" ht="3.95" customHeight="1">
      <c r="D1234" s="158"/>
      <c r="E1234" s="159"/>
      <c r="F1234" s="159"/>
      <c r="G1234" s="160"/>
      <c r="H1234" s="159"/>
      <c r="I1234" s="236"/>
      <c r="J1234" s="161"/>
      <c r="K1234" s="162"/>
      <c r="L1234" s="163"/>
      <c r="M1234" s="163"/>
      <c r="N1234" s="300"/>
    </row>
    <row r="1235" spans="2:14" ht="20.100000000000001" customHeight="1">
      <c r="D1235" s="518" t="s">
        <v>90</v>
      </c>
      <c r="E1235" s="519"/>
      <c r="F1235" s="519"/>
      <c r="G1235" s="519"/>
      <c r="H1235" s="519"/>
      <c r="I1235" s="519"/>
      <c r="J1235" s="513"/>
      <c r="K1235" s="50" t="s">
        <v>91</v>
      </c>
      <c r="L1235" s="51" t="s">
        <v>92</v>
      </c>
      <c r="M1235" s="51" t="s">
        <v>93</v>
      </c>
      <c r="N1235" s="272" t="s">
        <v>94</v>
      </c>
    </row>
    <row r="1236" spans="2:14" ht="20.100000000000001" customHeight="1">
      <c r="B1236" s="260" t="s">
        <v>250</v>
      </c>
      <c r="D1236" s="52" t="str">
        <f>IF(B1236=0,0,VLOOKUP(B1236,MO,2,FALSE))</f>
        <v>ENCARREGADO DE PAVIMENTAÇÃO</v>
      </c>
      <c r="E1236" s="53"/>
      <c r="F1236" s="53"/>
      <c r="G1236" s="53"/>
      <c r="H1236" s="53"/>
      <c r="I1236" s="36"/>
      <c r="J1236" s="54"/>
      <c r="K1236" s="152"/>
      <c r="L1236" s="164">
        <v>1</v>
      </c>
      <c r="M1236" s="55">
        <f>IF(B1236=0,0,VLOOKUP(B1236,MO,6,FALSE))</f>
        <v>44.786799999999999</v>
      </c>
      <c r="N1236" s="301">
        <f>ROUND(L1236*M1236,2)</f>
        <v>44.79</v>
      </c>
    </row>
    <row r="1237" spans="2:14" ht="20.100000000000001" customHeight="1">
      <c r="B1237" s="260" t="s">
        <v>248</v>
      </c>
      <c r="D1237" s="52" t="str">
        <f>IF(B1237=0,0,VLOOKUP(B1237,MO,2,FALSE))</f>
        <v>SERVENTE</v>
      </c>
      <c r="E1237" s="53"/>
      <c r="F1237" s="53"/>
      <c r="G1237" s="53"/>
      <c r="H1237" s="53"/>
      <c r="I1237" s="36"/>
      <c r="J1237" s="54"/>
      <c r="K1237" s="152"/>
      <c r="L1237" s="164">
        <v>3</v>
      </c>
      <c r="M1237" s="55">
        <f>IF(B1237=0,0,VLOOKUP(B1237,MO,6,FALSE))</f>
        <v>7.9973000000000001</v>
      </c>
      <c r="N1237" s="301">
        <f>ROUND(L1237*M1237,2)</f>
        <v>23.99</v>
      </c>
    </row>
    <row r="1238" spans="2:14" ht="20.100000000000001" customHeight="1">
      <c r="B1238" s="260"/>
      <c r="D1238" s="52" t="s">
        <v>122</v>
      </c>
      <c r="E1238" s="53"/>
      <c r="F1238" s="53"/>
      <c r="G1238" s="53"/>
      <c r="H1238" s="53"/>
      <c r="I1238" s="36"/>
      <c r="J1238" s="54"/>
      <c r="K1238" s="165">
        <v>0</v>
      </c>
      <c r="L1238" s="166">
        <f>N1236+N1237</f>
        <v>68.78</v>
      </c>
      <c r="M1238" s="164"/>
      <c r="N1238" s="316">
        <f>ROUND(L1238*K1238,2)</f>
        <v>0</v>
      </c>
    </row>
    <row r="1239" spans="2:14" ht="20.100000000000001" customHeight="1">
      <c r="D1239" s="167"/>
      <c r="E1239" s="59"/>
      <c r="F1239" s="168"/>
      <c r="G1239" s="168"/>
      <c r="H1239" s="159"/>
      <c r="I1239" s="236"/>
      <c r="J1239" s="169"/>
      <c r="K1239" s="162"/>
      <c r="L1239" s="163"/>
      <c r="M1239" s="62" t="s">
        <v>98</v>
      </c>
      <c r="N1239" s="302">
        <f>SUM(N1236:N1238)</f>
        <v>68.78</v>
      </c>
    </row>
    <row r="1240" spans="2:14" ht="3.95" customHeight="1">
      <c r="D1240" s="158"/>
      <c r="E1240" s="159"/>
      <c r="F1240" s="159"/>
      <c r="G1240" s="159"/>
      <c r="H1240" s="159"/>
      <c r="I1240" s="236"/>
      <c r="J1240" s="169"/>
      <c r="K1240" s="162"/>
      <c r="L1240" s="163"/>
      <c r="M1240" s="163"/>
      <c r="N1240" s="300"/>
    </row>
    <row r="1241" spans="2:14" ht="20.100000000000001" customHeight="1">
      <c r="D1241" s="170"/>
      <c r="E1241" s="168"/>
      <c r="F1241" s="168"/>
      <c r="G1241" s="168"/>
      <c r="H1241" s="171"/>
      <c r="I1241" s="237"/>
      <c r="J1241" s="171"/>
      <c r="K1241" s="509" t="s">
        <v>99</v>
      </c>
      <c r="L1241" s="510"/>
      <c r="M1241" s="511"/>
      <c r="N1241" s="303">
        <f>+N1233+N1239</f>
        <v>768.36999999999989</v>
      </c>
    </row>
    <row r="1242" spans="2:14" ht="3.95" customHeight="1">
      <c r="D1242" s="172"/>
      <c r="E1242" s="159"/>
      <c r="F1242" s="159"/>
      <c r="G1242" s="160"/>
      <c r="H1242" s="159"/>
      <c r="I1242" s="236"/>
      <c r="J1242" s="161"/>
      <c r="K1242" s="162"/>
      <c r="L1242" s="163"/>
      <c r="M1242" s="163"/>
      <c r="N1242" s="300"/>
    </row>
    <row r="1243" spans="2:14" ht="20.100000000000001" customHeight="1">
      <c r="D1243" s="167"/>
      <c r="E1243" s="509" t="s">
        <v>100</v>
      </c>
      <c r="F1243" s="510"/>
      <c r="G1243" s="510"/>
      <c r="H1243" s="511"/>
      <c r="I1243" s="238">
        <v>175</v>
      </c>
      <c r="J1243" s="163"/>
      <c r="K1243" s="506" t="s">
        <v>101</v>
      </c>
      <c r="L1243" s="507"/>
      <c r="M1243" s="508"/>
      <c r="N1243" s="304">
        <f>ROUND(N1241/I1243,2)</f>
        <v>4.3899999999999997</v>
      </c>
    </row>
    <row r="1244" spans="2:14" ht="3.95" customHeight="1">
      <c r="D1244" s="158"/>
      <c r="E1244" s="159"/>
      <c r="F1244" s="159"/>
      <c r="G1244" s="173"/>
      <c r="H1244" s="159"/>
      <c r="I1244" s="163"/>
      <c r="J1244" s="161"/>
      <c r="K1244" s="161"/>
      <c r="L1244" s="163"/>
      <c r="M1244" s="161"/>
      <c r="N1244" s="305"/>
    </row>
    <row r="1245" spans="2:14" ht="20.100000000000001" customHeight="1">
      <c r="D1245" s="49" t="s">
        <v>102</v>
      </c>
      <c r="E1245" s="22"/>
      <c r="F1245" s="22"/>
      <c r="G1245" s="22"/>
      <c r="H1245" s="22"/>
      <c r="I1245" s="141"/>
      <c r="J1245" s="23"/>
      <c r="K1245" s="50" t="s">
        <v>103</v>
      </c>
      <c r="L1245" s="51" t="s">
        <v>80</v>
      </c>
      <c r="M1245" s="51" t="s">
        <v>104</v>
      </c>
      <c r="N1245" s="272" t="s">
        <v>105</v>
      </c>
    </row>
    <row r="1246" spans="2:14" ht="20.100000000000001" customHeight="1">
      <c r="B1246" s="260" t="s">
        <v>308</v>
      </c>
      <c r="D1246" s="52" t="str">
        <f>IF(B1246=0,0,VLOOKUP(B1246,MAT,3,FALSE))</f>
        <v>ESCAVAÇÃO E CARGA DE MATERIAL DE JAZIDA (CONSV)</v>
      </c>
      <c r="E1246" s="53"/>
      <c r="F1246" s="53"/>
      <c r="G1246" s="53"/>
      <c r="H1246" s="53"/>
      <c r="I1246" s="36"/>
      <c r="J1246" s="54"/>
      <c r="K1246" s="66" t="str">
        <f>IF(B1246=0,0,VLOOKUP(B1246,MAT,5,FALSE))</f>
        <v>M3</v>
      </c>
      <c r="L1246" s="55">
        <f>IF(B1246=0,0,VLOOKUP(B1246,MAT,6,FALSE))</f>
        <v>7.82</v>
      </c>
      <c r="M1246" s="433">
        <v>1.2</v>
      </c>
      <c r="N1246" s="301">
        <f>ROUND(L1246*M1246,2)</f>
        <v>9.3800000000000008</v>
      </c>
    </row>
    <row r="1247" spans="2:14" ht="20.100000000000001" customHeight="1">
      <c r="B1247" s="260"/>
      <c r="D1247" s="383">
        <f>IF(B1247=0,0,VLOOKUP(B1247,MAT,3,FALSE))</f>
        <v>0</v>
      </c>
      <c r="E1247" s="384"/>
      <c r="F1247" s="384"/>
      <c r="G1247" s="384"/>
      <c r="H1247" s="384"/>
      <c r="I1247" s="384"/>
      <c r="J1247" s="385"/>
      <c r="K1247" s="386">
        <f>IF(B1247=0,0,VLOOKUP(B1247,MAT,5,FALSE))</f>
        <v>0</v>
      </c>
      <c r="L1247" s="387">
        <f>IF(B1247=0,0,VLOOKUP(B1247,MAT,6,FALSE))</f>
        <v>0</v>
      </c>
      <c r="M1247" s="396"/>
      <c r="N1247" s="397">
        <f>ROUND(L1247*M1247,2)</f>
        <v>0</v>
      </c>
    </row>
    <row r="1248" spans="2:14" ht="20.100000000000001" customHeight="1">
      <c r="B1248" s="260"/>
      <c r="D1248" s="383">
        <f>IF(B1248=0,0,VLOOKUP(B1248,MAT,3,FALSE))</f>
        <v>0</v>
      </c>
      <c r="E1248" s="384"/>
      <c r="F1248" s="384"/>
      <c r="G1248" s="384"/>
      <c r="H1248" s="384"/>
      <c r="I1248" s="384"/>
      <c r="J1248" s="385"/>
      <c r="K1248" s="386">
        <f>IF(B1248=0,0,VLOOKUP(B1248,MAT,5,FALSE))</f>
        <v>0</v>
      </c>
      <c r="L1248" s="387">
        <f>IF(B1248=0,0,VLOOKUP(B1248,MAT,6,FALSE))</f>
        <v>0</v>
      </c>
      <c r="M1248" s="396"/>
      <c r="N1248" s="397">
        <f>ROUND(L1248*M1248,2)</f>
        <v>0</v>
      </c>
    </row>
    <row r="1249" spans="2:15" ht="20.100000000000001" customHeight="1">
      <c r="D1249" s="158"/>
      <c r="E1249" s="159"/>
      <c r="F1249" s="159"/>
      <c r="G1249" s="173"/>
      <c r="H1249" s="159"/>
      <c r="I1249" s="163"/>
      <c r="J1249" s="161"/>
      <c r="K1249" s="161"/>
      <c r="L1249" s="163"/>
      <c r="M1249" s="71" t="s">
        <v>106</v>
      </c>
      <c r="N1249" s="302">
        <f>SUM(N1246:N1248)</f>
        <v>9.3800000000000008</v>
      </c>
    </row>
    <row r="1250" spans="2:15" ht="20.100000000000001" customHeight="1">
      <c r="D1250" s="158"/>
      <c r="E1250" s="159"/>
      <c r="F1250" s="159"/>
      <c r="G1250" s="173"/>
      <c r="H1250" s="159"/>
      <c r="I1250" s="163"/>
      <c r="J1250" s="161"/>
      <c r="K1250" s="161"/>
      <c r="L1250" s="163"/>
      <c r="M1250" s="161"/>
      <c r="N1250" s="305"/>
    </row>
    <row r="1251" spans="2:15" ht="20.100000000000001" customHeight="1">
      <c r="D1251" s="527" t="s">
        <v>107</v>
      </c>
      <c r="E1251" s="72" t="s">
        <v>2</v>
      </c>
      <c r="F1251" s="73"/>
      <c r="G1251" s="73"/>
      <c r="H1251" s="74"/>
      <c r="I1251" s="498" t="s">
        <v>108</v>
      </c>
      <c r="J1251" s="499"/>
      <c r="K1251" s="531" t="s">
        <v>103</v>
      </c>
      <c r="L1251" s="514" t="s">
        <v>80</v>
      </c>
      <c r="M1251" s="531" t="s">
        <v>109</v>
      </c>
      <c r="N1251" s="529" t="s">
        <v>105</v>
      </c>
    </row>
    <row r="1252" spans="2:15" ht="20.100000000000001" customHeight="1">
      <c r="D1252" s="528"/>
      <c r="E1252" s="512" t="s">
        <v>110</v>
      </c>
      <c r="F1252" s="513"/>
      <c r="G1252" s="512" t="s">
        <v>111</v>
      </c>
      <c r="H1252" s="513"/>
      <c r="I1252" s="500"/>
      <c r="J1252" s="501"/>
      <c r="K1252" s="532"/>
      <c r="L1252" s="515"/>
      <c r="M1252" s="532"/>
      <c r="N1252" s="530"/>
    </row>
    <row r="1253" spans="2:15" ht="18.75" customHeight="1">
      <c r="B1253" s="260" t="s">
        <v>333</v>
      </c>
      <c r="D1253" s="268" t="str">
        <f>IF(B1253=0,0,VLOOKUP(B1253,TRANS,3,FALSE))</f>
        <v>MATERIAL DE JAZIDA</v>
      </c>
      <c r="E1253" s="504">
        <f>IF(B1253=0,0,VLOOKUP(B1253,TRANS,5,FALSE))</f>
        <v>0.44</v>
      </c>
      <c r="F1253" s="505"/>
      <c r="G1253" s="502"/>
      <c r="H1253" s="503"/>
      <c r="I1253" s="496">
        <f>IF(B1253=0,0,VLOOKUP(B1253,TRANS,6,FALSE))</f>
        <v>15</v>
      </c>
      <c r="J1253" s="497"/>
      <c r="K1253" s="262" t="str">
        <f>IF(B1253=0,0,VLOOKUP(B1253,TRANS,4,FALSE))</f>
        <v>T.KM</v>
      </c>
      <c r="L1253" s="55">
        <f>E1253*I1253</f>
        <v>6.6</v>
      </c>
      <c r="M1253" s="432">
        <v>1.93</v>
      </c>
      <c r="N1253" s="278">
        <f>ROUND(L1253*M1253,2)</f>
        <v>12.74</v>
      </c>
    </row>
    <row r="1254" spans="2:15" ht="20.100000000000001" customHeight="1">
      <c r="B1254" s="260"/>
      <c r="D1254" s="268"/>
      <c r="E1254" s="504"/>
      <c r="F1254" s="505"/>
      <c r="G1254" s="502"/>
      <c r="H1254" s="503"/>
      <c r="I1254" s="533"/>
      <c r="J1254" s="534"/>
      <c r="K1254" s="66"/>
      <c r="L1254" s="67"/>
      <c r="M1254" s="70"/>
      <c r="N1254" s="278"/>
    </row>
    <row r="1255" spans="2:15" ht="20.100000000000001" customHeight="1">
      <c r="D1255" s="175"/>
      <c r="E1255" s="176"/>
      <c r="F1255" s="159"/>
      <c r="G1255" s="173"/>
      <c r="H1255" s="159"/>
      <c r="I1255" s="163"/>
      <c r="J1255" s="161"/>
      <c r="K1255" s="161"/>
      <c r="L1255" s="163"/>
      <c r="M1255" s="71" t="s">
        <v>112</v>
      </c>
      <c r="N1255" s="302">
        <f>SUM(N1253:N1254)</f>
        <v>12.74</v>
      </c>
    </row>
    <row r="1256" spans="2:15" ht="3.95" customHeight="1" thickBot="1">
      <c r="D1256" s="175"/>
      <c r="E1256" s="159"/>
      <c r="F1256" s="173"/>
      <c r="G1256" s="159"/>
      <c r="H1256" s="161"/>
      <c r="I1256" s="163"/>
      <c r="J1256" s="161"/>
      <c r="K1256" s="161"/>
      <c r="L1256" s="163"/>
      <c r="M1256" s="161"/>
      <c r="N1256" s="305"/>
    </row>
    <row r="1257" spans="2:15" ht="20.100000000000001" customHeight="1">
      <c r="D1257" s="177"/>
      <c r="E1257" s="178"/>
      <c r="F1257" s="178"/>
      <c r="G1257" s="178"/>
      <c r="H1257" s="179"/>
      <c r="I1257" s="239"/>
      <c r="J1257" s="127" t="s">
        <v>114</v>
      </c>
      <c r="K1257" s="128"/>
      <c r="L1257" s="306"/>
      <c r="M1257" s="129">
        <v>0.02</v>
      </c>
      <c r="N1257" s="307">
        <f>(+N1243+N1249+N1255)*M1257</f>
        <v>0.5302</v>
      </c>
    </row>
    <row r="1258" spans="2:15" ht="20.100000000000001" customHeight="1" thickBot="1">
      <c r="D1258" s="180"/>
      <c r="E1258" s="181"/>
      <c r="F1258" s="181"/>
      <c r="G1258" s="181"/>
      <c r="H1258" s="181"/>
      <c r="I1258" s="240"/>
      <c r="J1258" s="537" t="s">
        <v>149</v>
      </c>
      <c r="K1258" s="538"/>
      <c r="L1258" s="538"/>
      <c r="M1258" s="538"/>
      <c r="N1258" s="308">
        <f>+N1243+N1249+N1255+N1257</f>
        <v>27.040199999999999</v>
      </c>
    </row>
    <row r="1259" spans="2:15" ht="20.100000000000001" customHeight="1" thickBot="1">
      <c r="D1259" s="182"/>
      <c r="E1259" s="183"/>
      <c r="F1259" s="183"/>
      <c r="G1259" s="183"/>
      <c r="H1259" s="183"/>
      <c r="I1259" s="241"/>
      <c r="J1259" s="184" t="s">
        <v>158</v>
      </c>
      <c r="K1259" s="185"/>
      <c r="L1259" s="309"/>
      <c r="M1259" s="186">
        <f>DI</f>
        <v>0.26700000000000002</v>
      </c>
      <c r="N1259" s="310">
        <f>(M1259*N1258)+N1258</f>
        <v>34.259933400000001</v>
      </c>
    </row>
    <row r="1260" spans="2:15" s="192" customFormat="1" ht="20.100000000000001" customHeight="1">
      <c r="B1260" s="198"/>
      <c r="C1260" s="198"/>
      <c r="D1260" s="193"/>
      <c r="E1260" s="193"/>
      <c r="F1260" s="193"/>
      <c r="G1260" s="193"/>
      <c r="H1260" s="194"/>
      <c r="I1260" s="242"/>
      <c r="J1260" s="193"/>
      <c r="K1260" s="193"/>
      <c r="L1260" s="242"/>
      <c r="M1260" s="193"/>
      <c r="N1260" s="242"/>
      <c r="O1260" s="390"/>
    </row>
    <row r="1261" spans="2:15" s="192" customFormat="1" ht="20.100000000000001" customHeight="1">
      <c r="B1261" s="198"/>
      <c r="C1261" s="198"/>
      <c r="D1261" s="193"/>
      <c r="E1261" s="193"/>
      <c r="F1261" s="193"/>
      <c r="G1261" s="193"/>
      <c r="H1261" s="194"/>
      <c r="I1261" s="242"/>
      <c r="J1261" s="193"/>
      <c r="K1261" s="193"/>
      <c r="L1261" s="242"/>
      <c r="M1261" s="193"/>
      <c r="N1261" s="242"/>
      <c r="O1261" s="390"/>
    </row>
    <row r="1262" spans="2:15" s="192" customFormat="1" ht="19.5" customHeight="1" thickBot="1">
      <c r="B1262" s="198"/>
      <c r="C1262" s="198"/>
      <c r="D1262" s="193"/>
      <c r="E1262" s="193"/>
      <c r="F1262" s="193"/>
      <c r="G1262" s="193"/>
      <c r="H1262" s="194"/>
      <c r="I1262" s="242"/>
      <c r="J1262" s="193"/>
      <c r="K1262" s="193"/>
      <c r="L1262" s="242"/>
      <c r="M1262" s="193"/>
      <c r="N1262" s="242"/>
      <c r="O1262" s="390"/>
    </row>
    <row r="1263" spans="2:15" ht="20.100000000000001" customHeight="1">
      <c r="B1263" s="197" t="s">
        <v>207</v>
      </c>
      <c r="D1263" s="520"/>
      <c r="E1263" s="521"/>
      <c r="F1263" s="524" t="s">
        <v>74</v>
      </c>
      <c r="G1263" s="525"/>
      <c r="H1263" s="525"/>
      <c r="I1263" s="525"/>
      <c r="J1263" s="525"/>
      <c r="K1263" s="525"/>
      <c r="L1263" s="526"/>
      <c r="M1263" s="19" t="s">
        <v>75</v>
      </c>
      <c r="N1263" s="20" t="s">
        <v>76</v>
      </c>
    </row>
    <row r="1264" spans="2:15" ht="20.100000000000001" customHeight="1">
      <c r="D1264" s="522"/>
      <c r="E1264" s="523"/>
      <c r="F1264" s="512" t="str">
        <f>VLOOKUP(B1263,Resumo_Composições,3,FALSE)</f>
        <v>BASE ESTABILIZADA GRANULOMETRICAMENTE C/MISTURA SOLO-BRITA</v>
      </c>
      <c r="G1264" s="519"/>
      <c r="H1264" s="519"/>
      <c r="I1264" s="519"/>
      <c r="J1264" s="519"/>
      <c r="K1264" s="519"/>
      <c r="L1264" s="513"/>
      <c r="M1264" s="24" t="str">
        <f>VLOOKUP(B1263,Resumo_Composições,4,FALSE)</f>
        <v>M3</v>
      </c>
      <c r="N1264" s="25">
        <f>DATA</f>
        <v>41214</v>
      </c>
    </row>
    <row r="1265" spans="2:14" ht="20.100000000000001" customHeight="1">
      <c r="D1265" s="26" t="s">
        <v>77</v>
      </c>
      <c r="E1265" s="27"/>
      <c r="F1265" s="27"/>
      <c r="G1265" s="27"/>
      <c r="H1265" s="28"/>
      <c r="I1265" s="214" t="s">
        <v>78</v>
      </c>
      <c r="J1265" s="509" t="s">
        <v>79</v>
      </c>
      <c r="K1265" s="511"/>
      <c r="L1265" s="535" t="s">
        <v>80</v>
      </c>
      <c r="M1265" s="536"/>
      <c r="N1265" s="516" t="s">
        <v>81</v>
      </c>
    </row>
    <row r="1266" spans="2:14" ht="20.100000000000001" customHeight="1">
      <c r="D1266" s="31"/>
      <c r="E1266" s="32"/>
      <c r="F1266" s="32"/>
      <c r="G1266" s="32"/>
      <c r="H1266" s="33"/>
      <c r="I1266" s="34"/>
      <c r="J1266" s="51" t="s">
        <v>82</v>
      </c>
      <c r="K1266" s="51" t="s">
        <v>83</v>
      </c>
      <c r="L1266" s="51" t="s">
        <v>82</v>
      </c>
      <c r="M1266" s="51" t="s">
        <v>84</v>
      </c>
      <c r="N1266" s="517"/>
    </row>
    <row r="1267" spans="2:14" ht="20.100000000000001" customHeight="1">
      <c r="B1267" s="260" t="s">
        <v>288</v>
      </c>
      <c r="D1267" s="35" t="str">
        <f>IF(B1267=0,0,VLOOKUP(B1267,EQUIP,3,FALSE))</f>
        <v>ROLO COMPACTADOR TANDEM VIBRAT. AUTOPROPO. 10,9 T (112 KW)</v>
      </c>
      <c r="E1267" s="91"/>
      <c r="F1267" s="91"/>
      <c r="G1267" s="91"/>
      <c r="H1267" s="92"/>
      <c r="I1267" s="215">
        <v>1</v>
      </c>
      <c r="J1267" s="38">
        <v>0.73</v>
      </c>
      <c r="K1267" s="38">
        <f>1-J1267</f>
        <v>0.27</v>
      </c>
      <c r="L1267" s="215">
        <f>IF(B1267=0,0,VLOOKUP(B1267,EQUIP,6,FALSE))</f>
        <v>112.07</v>
      </c>
      <c r="M1267" s="38">
        <f>IF(B1267=0,0,VLOOKUP(B1267,EQUIP,7,FALSE))</f>
        <v>17.27</v>
      </c>
      <c r="N1267" s="400">
        <f>ROUND(I1267*J1267*L1267+K1267*M1267,2)</f>
        <v>86.47</v>
      </c>
    </row>
    <row r="1268" spans="2:14" ht="20.100000000000001" customHeight="1">
      <c r="B1268" s="260" t="s">
        <v>285</v>
      </c>
      <c r="D1268" s="35" t="str">
        <f>IF(B1268=0,0,VLOOKUP(B1268,EQUIP,3,FALSE))</f>
        <v>ROLO COMPACTADOR DE PNEUS 21 t (97 KW)</v>
      </c>
      <c r="E1268" s="36"/>
      <c r="F1268" s="36"/>
      <c r="G1268" s="36"/>
      <c r="H1268" s="37"/>
      <c r="I1268" s="215">
        <v>1</v>
      </c>
      <c r="J1268" s="39">
        <v>0.75</v>
      </c>
      <c r="K1268" s="38">
        <f>1-J1268</f>
        <v>0.25</v>
      </c>
      <c r="L1268" s="215">
        <f>IF(B1268=0,0,VLOOKUP(B1268,EQUIP,6,FALSE))</f>
        <v>96.39</v>
      </c>
      <c r="M1268" s="38">
        <f>IF(B1268=0,0,VLOOKUP(B1268,EQUIP,7,FALSE))</f>
        <v>17.27</v>
      </c>
      <c r="N1268" s="400">
        <f>ROUND(I1268*J1268*L1268+K1268*M1268,2)</f>
        <v>76.61</v>
      </c>
    </row>
    <row r="1269" spans="2:14" ht="20.100000000000001" customHeight="1">
      <c r="B1269" s="260" t="s">
        <v>274</v>
      </c>
      <c r="D1269" s="35" t="str">
        <f>IF(B1269=0,0,VLOOKUP(B1269,EQUIP,3,FALSE))</f>
        <v>DISTRIBUIDOR DE AGREGADOS - REBOCÁVEL</v>
      </c>
      <c r="E1269" s="91"/>
      <c r="F1269" s="91"/>
      <c r="G1269" s="91"/>
      <c r="H1269" s="92"/>
      <c r="I1269" s="215">
        <v>1</v>
      </c>
      <c r="J1269" s="38">
        <v>0.89</v>
      </c>
      <c r="K1269" s="38">
        <f>1-J1269</f>
        <v>0.10999999999999999</v>
      </c>
      <c r="L1269" s="215">
        <f>IF(B1269=0,0,VLOOKUP(B1269,EQUIP,6,FALSE))</f>
        <v>3.26</v>
      </c>
      <c r="M1269" s="38">
        <f>IF(B1269=0,0,VLOOKUP(B1269,EQUIP,7,FALSE))</f>
        <v>0</v>
      </c>
      <c r="N1269" s="400">
        <f>ROUND(I1269*J1269*L1269+K1269*M1269,2)</f>
        <v>2.9</v>
      </c>
    </row>
    <row r="1270" spans="2:14" ht="20.100000000000001" customHeight="1">
      <c r="B1270" s="260" t="s">
        <v>262</v>
      </c>
      <c r="D1270" s="35" t="str">
        <f>IF(B1270=0,0,VLOOKUP(B1270,EQUIP,3,FALSE))</f>
        <v>CAMINHÃO BASCULANTE 10m3 - 15 T (170 KW)</v>
      </c>
      <c r="E1270" s="36"/>
      <c r="F1270" s="36"/>
      <c r="G1270" s="36"/>
      <c r="H1270" s="37"/>
      <c r="I1270" s="55">
        <v>4.68</v>
      </c>
      <c r="J1270" s="38">
        <v>1</v>
      </c>
      <c r="K1270" s="38">
        <f>1-J1270</f>
        <v>0</v>
      </c>
      <c r="L1270" s="215">
        <f>IF(B1270=0,0,VLOOKUP(B1270,EQUIP,6,FALSE))</f>
        <v>135.83000000000001</v>
      </c>
      <c r="M1270" s="38">
        <f>IF(B1270=0,0,VLOOKUP(B1270,EQUIP,7,FALSE))</f>
        <v>20.47</v>
      </c>
      <c r="N1270" s="400">
        <f>ROUND(I1270*J1270*L1270+K1270*M1270,2)</f>
        <v>635.67999999999995</v>
      </c>
    </row>
    <row r="1271" spans="2:14" ht="20.100000000000001" customHeight="1">
      <c r="B1271" s="260" t="s">
        <v>265</v>
      </c>
      <c r="D1271" s="35" t="str">
        <f>IF(B1271=0,0,VLOOKUP(B1271,EQUIP,3,FALSE))</f>
        <v>CAMINHÃO TANQUE 10.000 l</v>
      </c>
      <c r="E1271" s="36"/>
      <c r="F1271" s="36"/>
      <c r="G1271" s="36"/>
      <c r="H1271" s="37"/>
      <c r="I1271" s="215">
        <v>1</v>
      </c>
      <c r="J1271" s="38">
        <v>0.7</v>
      </c>
      <c r="K1271" s="38">
        <f>1-J1271</f>
        <v>0.30000000000000004</v>
      </c>
      <c r="L1271" s="215">
        <f>IF(B1271=0,0,VLOOKUP(B1271,EQUIP,6,FALSE))</f>
        <v>126.87</v>
      </c>
      <c r="M1271" s="38">
        <f>IF(B1271=0,0,VLOOKUP(B1271,EQUIP,7,FALSE))</f>
        <v>20.47</v>
      </c>
      <c r="N1271" s="400">
        <f>ROUND(I1271*J1271*L1271+K1271*M1271,2)</f>
        <v>94.95</v>
      </c>
    </row>
    <row r="1272" spans="2:14" ht="20.100000000000001" customHeight="1">
      <c r="D1272" s="155"/>
      <c r="E1272" s="156"/>
      <c r="F1272" s="156"/>
      <c r="G1272" s="156"/>
      <c r="H1272" s="156"/>
      <c r="I1272" s="235"/>
      <c r="J1272" s="157"/>
      <c r="K1272" s="157"/>
      <c r="L1272" s="216"/>
      <c r="M1272" s="42" t="s">
        <v>89</v>
      </c>
      <c r="N1272" s="401">
        <f>SUM(N1267:N1271)</f>
        <v>896.61</v>
      </c>
    </row>
    <row r="1273" spans="2:14" ht="3.95" customHeight="1">
      <c r="D1273" s="158"/>
      <c r="E1273" s="159"/>
      <c r="F1273" s="159"/>
      <c r="G1273" s="160"/>
      <c r="H1273" s="159"/>
      <c r="I1273" s="236"/>
      <c r="J1273" s="161"/>
      <c r="K1273" s="162"/>
      <c r="L1273" s="163"/>
      <c r="M1273" s="163"/>
      <c r="N1273" s="300"/>
    </row>
    <row r="1274" spans="2:14" ht="20.100000000000001" customHeight="1">
      <c r="D1274" s="518" t="s">
        <v>90</v>
      </c>
      <c r="E1274" s="519"/>
      <c r="F1274" s="519"/>
      <c r="G1274" s="519"/>
      <c r="H1274" s="519"/>
      <c r="I1274" s="519"/>
      <c r="J1274" s="513"/>
      <c r="K1274" s="50" t="s">
        <v>91</v>
      </c>
      <c r="L1274" s="51" t="s">
        <v>92</v>
      </c>
      <c r="M1274" s="51" t="s">
        <v>93</v>
      </c>
      <c r="N1274" s="272" t="s">
        <v>94</v>
      </c>
    </row>
    <row r="1275" spans="2:14" ht="20.100000000000001" customHeight="1">
      <c r="B1275" s="260" t="s">
        <v>250</v>
      </c>
      <c r="D1275" s="52" t="str">
        <f>IF(B1275=0,0,VLOOKUP(B1275,MO,2,FALSE))</f>
        <v>ENCARREGADO DE PAVIMENTAÇÃO</v>
      </c>
      <c r="E1275" s="53"/>
      <c r="F1275" s="53"/>
      <c r="G1275" s="53"/>
      <c r="H1275" s="53"/>
      <c r="I1275" s="36"/>
      <c r="J1275" s="54"/>
      <c r="K1275" s="152"/>
      <c r="L1275" s="164">
        <v>1</v>
      </c>
      <c r="M1275" s="55">
        <f>IF(B1275=0,0,VLOOKUP(B1275,MO,6,FALSE))</f>
        <v>44.786799999999999</v>
      </c>
      <c r="N1275" s="301">
        <f>ROUND(L1275*M1275,2)</f>
        <v>44.79</v>
      </c>
    </row>
    <row r="1276" spans="2:14" ht="20.100000000000001" customHeight="1">
      <c r="B1276" s="260" t="s">
        <v>248</v>
      </c>
      <c r="D1276" s="52" t="str">
        <f>IF(B1276=0,0,VLOOKUP(B1276,MO,2,FALSE))</f>
        <v>SERVENTE</v>
      </c>
      <c r="E1276" s="53"/>
      <c r="F1276" s="53"/>
      <c r="G1276" s="53"/>
      <c r="H1276" s="53"/>
      <c r="I1276" s="36"/>
      <c r="J1276" s="54"/>
      <c r="K1276" s="152"/>
      <c r="L1276" s="164">
        <v>3</v>
      </c>
      <c r="M1276" s="55">
        <f>IF(B1276=0,0,VLOOKUP(B1276,MO,6,FALSE))</f>
        <v>7.9973000000000001</v>
      </c>
      <c r="N1276" s="301">
        <f>ROUND(L1276*M1276,2)</f>
        <v>23.99</v>
      </c>
    </row>
    <row r="1277" spans="2:14" ht="20.100000000000001" customHeight="1">
      <c r="B1277" s="260"/>
      <c r="D1277" s="52" t="s">
        <v>122</v>
      </c>
      <c r="E1277" s="53"/>
      <c r="F1277" s="53"/>
      <c r="G1277" s="53"/>
      <c r="H1277" s="53"/>
      <c r="I1277" s="36"/>
      <c r="J1277" s="54"/>
      <c r="K1277" s="165">
        <v>0</v>
      </c>
      <c r="L1277" s="166">
        <f>N1275+N1276</f>
        <v>68.78</v>
      </c>
      <c r="M1277" s="164"/>
      <c r="N1277" s="301">
        <f>ROUND(L1277*K1277,2)</f>
        <v>0</v>
      </c>
    </row>
    <row r="1278" spans="2:14" ht="20.100000000000001" customHeight="1">
      <c r="D1278" s="167"/>
      <c r="E1278" s="59"/>
      <c r="F1278" s="168"/>
      <c r="G1278" s="168"/>
      <c r="H1278" s="159"/>
      <c r="I1278" s="236"/>
      <c r="J1278" s="169"/>
      <c r="K1278" s="162"/>
      <c r="L1278" s="163"/>
      <c r="M1278" s="62" t="s">
        <v>98</v>
      </c>
      <c r="N1278" s="302">
        <f>SUM(N1275:N1277)</f>
        <v>68.78</v>
      </c>
    </row>
    <row r="1279" spans="2:14" ht="3.95" customHeight="1">
      <c r="D1279" s="158"/>
      <c r="E1279" s="159"/>
      <c r="F1279" s="159"/>
      <c r="G1279" s="159"/>
      <c r="H1279" s="159"/>
      <c r="I1279" s="236"/>
      <c r="J1279" s="169"/>
      <c r="K1279" s="162"/>
      <c r="L1279" s="163"/>
      <c r="M1279" s="163"/>
      <c r="N1279" s="300"/>
    </row>
    <row r="1280" spans="2:14" ht="20.100000000000001" customHeight="1">
      <c r="D1280" s="170"/>
      <c r="E1280" s="168"/>
      <c r="F1280" s="168"/>
      <c r="G1280" s="168"/>
      <c r="H1280" s="171"/>
      <c r="I1280" s="237"/>
      <c r="J1280" s="171"/>
      <c r="K1280" s="509" t="s">
        <v>99</v>
      </c>
      <c r="L1280" s="510"/>
      <c r="M1280" s="511"/>
      <c r="N1280" s="303">
        <f>+N1272+N1278</f>
        <v>965.39</v>
      </c>
    </row>
    <row r="1281" spans="2:14" ht="3.95" customHeight="1">
      <c r="D1281" s="172"/>
      <c r="E1281" s="159"/>
      <c r="F1281" s="159"/>
      <c r="G1281" s="160"/>
      <c r="H1281" s="159"/>
      <c r="I1281" s="236"/>
      <c r="J1281" s="161"/>
      <c r="K1281" s="162"/>
      <c r="L1281" s="163"/>
      <c r="M1281" s="163"/>
      <c r="N1281" s="300"/>
    </row>
    <row r="1282" spans="2:14" ht="20.100000000000001" customHeight="1">
      <c r="D1282" s="167"/>
      <c r="E1282" s="509" t="s">
        <v>100</v>
      </c>
      <c r="F1282" s="510"/>
      <c r="G1282" s="510"/>
      <c r="H1282" s="511"/>
      <c r="I1282" s="238">
        <v>125</v>
      </c>
      <c r="J1282" s="163"/>
      <c r="K1282" s="506" t="s">
        <v>101</v>
      </c>
      <c r="L1282" s="507"/>
      <c r="M1282" s="508"/>
      <c r="N1282" s="304">
        <f>ROUND(N1280/I1282,2)</f>
        <v>7.72</v>
      </c>
    </row>
    <row r="1283" spans="2:14" ht="3.95" customHeight="1">
      <c r="D1283" s="158"/>
      <c r="E1283" s="159"/>
      <c r="F1283" s="159"/>
      <c r="G1283" s="173"/>
      <c r="H1283" s="159"/>
      <c r="I1283" s="163"/>
      <c r="J1283" s="161"/>
      <c r="K1283" s="161"/>
      <c r="L1283" s="163"/>
      <c r="M1283" s="161"/>
      <c r="N1283" s="305"/>
    </row>
    <row r="1284" spans="2:14" ht="20.100000000000001" customHeight="1">
      <c r="D1284" s="49" t="s">
        <v>102</v>
      </c>
      <c r="E1284" s="22"/>
      <c r="F1284" s="22"/>
      <c r="G1284" s="22"/>
      <c r="H1284" s="22"/>
      <c r="I1284" s="141"/>
      <c r="J1284" s="23"/>
      <c r="K1284" s="50" t="s">
        <v>103</v>
      </c>
      <c r="L1284" s="51" t="s">
        <v>80</v>
      </c>
      <c r="M1284" s="51" t="s">
        <v>104</v>
      </c>
      <c r="N1284" s="272" t="s">
        <v>105</v>
      </c>
    </row>
    <row r="1285" spans="2:14" ht="20.100000000000001" customHeight="1">
      <c r="B1285" s="260" t="s">
        <v>319</v>
      </c>
      <c r="D1285" s="52" t="str">
        <f>IF(B1285=0,0,VLOOKUP(B1285,MAT,3,FALSE))</f>
        <v>USINAGEM DE SOLO-BRITA</v>
      </c>
      <c r="E1285" s="53"/>
      <c r="F1285" s="53"/>
      <c r="G1285" s="53"/>
      <c r="H1285" s="53"/>
      <c r="I1285" s="36"/>
      <c r="J1285" s="54"/>
      <c r="K1285" s="66" t="str">
        <f>IF(B1285=0,0,VLOOKUP(B1285,MAT,5,FALSE))</f>
        <v>M3</v>
      </c>
      <c r="L1285" s="55">
        <f>IF(B1285=0,0,VLOOKUP(B1285,MAT,6,FALSE))</f>
        <v>29.880000000000003</v>
      </c>
      <c r="M1285" s="433">
        <v>1</v>
      </c>
      <c r="N1285" s="301">
        <f>ROUND(L1285*M1285,2)</f>
        <v>29.88</v>
      </c>
    </row>
    <row r="1286" spans="2:14" ht="20.100000000000001" customHeight="1">
      <c r="B1286" s="260"/>
      <c r="D1286" s="52"/>
      <c r="E1286" s="53"/>
      <c r="F1286" s="53"/>
      <c r="G1286" s="53"/>
      <c r="H1286" s="53"/>
      <c r="I1286" s="36"/>
      <c r="J1286" s="54"/>
      <c r="K1286" s="66"/>
      <c r="L1286" s="211"/>
      <c r="M1286" s="174"/>
      <c r="N1286" s="316">
        <f>ROUND(L1286*M1286,2)</f>
        <v>0</v>
      </c>
    </row>
    <row r="1287" spans="2:14" ht="20.100000000000001" customHeight="1">
      <c r="B1287" s="260"/>
      <c r="D1287" s="52"/>
      <c r="E1287" s="53"/>
      <c r="F1287" s="53"/>
      <c r="G1287" s="53"/>
      <c r="H1287" s="53"/>
      <c r="I1287" s="36"/>
      <c r="J1287" s="54"/>
      <c r="K1287" s="66"/>
      <c r="L1287" s="67"/>
      <c r="M1287" s="174"/>
      <c r="N1287" s="316">
        <f>ROUND(L1287*M1287,2)</f>
        <v>0</v>
      </c>
    </row>
    <row r="1288" spans="2:14" ht="20.100000000000001" customHeight="1">
      <c r="D1288" s="158"/>
      <c r="E1288" s="159"/>
      <c r="F1288" s="159"/>
      <c r="G1288" s="173"/>
      <c r="H1288" s="159"/>
      <c r="I1288" s="163"/>
      <c r="J1288" s="161"/>
      <c r="K1288" s="161"/>
      <c r="L1288" s="163"/>
      <c r="M1288" s="71" t="s">
        <v>106</v>
      </c>
      <c r="N1288" s="302">
        <f>SUM(N1285:N1287)</f>
        <v>29.88</v>
      </c>
    </row>
    <row r="1289" spans="2:14" ht="20.100000000000001" customHeight="1">
      <c r="D1289" s="158"/>
      <c r="E1289" s="159"/>
      <c r="F1289" s="159"/>
      <c r="G1289" s="173"/>
      <c r="H1289" s="159"/>
      <c r="I1289" s="163"/>
      <c r="J1289" s="161"/>
      <c r="K1289" s="161"/>
      <c r="L1289" s="163"/>
      <c r="M1289" s="161"/>
      <c r="N1289" s="305"/>
    </row>
    <row r="1290" spans="2:14" ht="20.100000000000001" customHeight="1">
      <c r="D1290" s="527" t="s">
        <v>107</v>
      </c>
      <c r="E1290" s="72" t="s">
        <v>2</v>
      </c>
      <c r="F1290" s="73"/>
      <c r="G1290" s="73"/>
      <c r="H1290" s="74"/>
      <c r="I1290" s="498" t="s">
        <v>108</v>
      </c>
      <c r="J1290" s="499"/>
      <c r="K1290" s="531" t="s">
        <v>103</v>
      </c>
      <c r="L1290" s="514" t="s">
        <v>80</v>
      </c>
      <c r="M1290" s="531" t="s">
        <v>109</v>
      </c>
      <c r="N1290" s="529" t="s">
        <v>105</v>
      </c>
    </row>
    <row r="1291" spans="2:14" ht="20.100000000000001" customHeight="1">
      <c r="D1291" s="528"/>
      <c r="E1291" s="512" t="s">
        <v>110</v>
      </c>
      <c r="F1291" s="513"/>
      <c r="G1291" s="512" t="s">
        <v>111</v>
      </c>
      <c r="H1291" s="513"/>
      <c r="I1291" s="500"/>
      <c r="J1291" s="501"/>
      <c r="K1291" s="532"/>
      <c r="L1291" s="515"/>
      <c r="M1291" s="532"/>
      <c r="N1291" s="530"/>
    </row>
    <row r="1292" spans="2:14" ht="20.25" customHeight="1">
      <c r="B1292" s="260" t="s">
        <v>333</v>
      </c>
      <c r="D1292" s="268" t="str">
        <f>IF(B1292=0,0,VLOOKUP(B1292,TRANS,3,FALSE))</f>
        <v>MATERIAL DE JAZIDA</v>
      </c>
      <c r="E1292" s="504">
        <f>IF(B1292=0,0,VLOOKUP(B1292,TRANS,5,FALSE))</f>
        <v>0.44</v>
      </c>
      <c r="F1292" s="505"/>
      <c r="G1292" s="502"/>
      <c r="H1292" s="503"/>
      <c r="I1292" s="496">
        <f>IF(B1292=0,0,VLOOKUP(B1292,TRANS,6,FALSE))</f>
        <v>15</v>
      </c>
      <c r="J1292" s="497"/>
      <c r="K1292" s="262" t="str">
        <f>IF(B1292=0,0,VLOOKUP(B1292,TRANS,4,FALSE))</f>
        <v>T.KM</v>
      </c>
      <c r="L1292" s="55">
        <f>E1292*I1292</f>
        <v>6.6</v>
      </c>
      <c r="M1292" s="432">
        <v>1.3535999999999999</v>
      </c>
      <c r="N1292" s="278">
        <f>ROUND(L1292*M1292,2)</f>
        <v>8.93</v>
      </c>
    </row>
    <row r="1293" spans="2:14" ht="19.5" customHeight="1">
      <c r="B1293" s="260" t="s">
        <v>329</v>
      </c>
      <c r="D1293" s="268" t="str">
        <f>IF(B1293=0,0,VLOOKUP(B1293,TRANS,3,FALSE))</f>
        <v>BRITA COMERCIAL</v>
      </c>
      <c r="E1293" s="504">
        <f>IF(B1293=0,0,VLOOKUP(B1293,TRANS,5,FALSE))</f>
        <v>0.33</v>
      </c>
      <c r="F1293" s="505"/>
      <c r="G1293" s="502"/>
      <c r="H1293" s="503"/>
      <c r="I1293" s="496">
        <f>IF(B1293=0,0,VLOOKUP(B1293,TRANS,6,FALSE))</f>
        <v>20</v>
      </c>
      <c r="J1293" s="497"/>
      <c r="K1293" s="262" t="str">
        <f>IF(B1293=0,0,VLOOKUP(B1293,TRANS,4,FALSE))</f>
        <v>T.KM</v>
      </c>
      <c r="L1293" s="55">
        <f>E1293*I1293</f>
        <v>6.6000000000000005</v>
      </c>
      <c r="M1293" s="432">
        <v>0.84599999999999997</v>
      </c>
      <c r="N1293" s="278">
        <f>ROUND(L1293*M1293,2)</f>
        <v>5.58</v>
      </c>
    </row>
    <row r="1294" spans="2:14" ht="21" customHeight="1">
      <c r="B1294" s="260" t="s">
        <v>345</v>
      </c>
      <c r="D1294" s="268" t="str">
        <f>IF(B1294=0,0,VLOOKUP(B1294,TRANS,3,FALSE))</f>
        <v>USIN. DE SOLO-BRITA / SOLO-CIMENTO</v>
      </c>
      <c r="E1294" s="504">
        <f>IF(B1294=0,0,VLOOKUP(B1294,TRANS,5,FALSE))</f>
        <v>0.35</v>
      </c>
      <c r="F1294" s="505"/>
      <c r="G1294" s="502"/>
      <c r="H1294" s="503"/>
      <c r="I1294" s="496">
        <f>IF(B1294=0,0,VLOOKUP(B1294,TRANS,6,FALSE))</f>
        <v>45.53</v>
      </c>
      <c r="J1294" s="497"/>
      <c r="K1294" s="262" t="str">
        <f>IF(B1294=0,0,VLOOKUP(B1294,TRANS,4,FALSE))</f>
        <v>T.KM</v>
      </c>
      <c r="L1294" s="55">
        <f>E1294*I1294</f>
        <v>15.935499999999999</v>
      </c>
      <c r="M1294" s="432">
        <v>2.2000000000000002</v>
      </c>
      <c r="N1294" s="278">
        <f>ROUND(L1294*M1294,2)</f>
        <v>35.06</v>
      </c>
    </row>
    <row r="1295" spans="2:14" ht="20.100000000000001" customHeight="1">
      <c r="D1295" s="175"/>
      <c r="E1295" s="176"/>
      <c r="F1295" s="159"/>
      <c r="G1295" s="173"/>
      <c r="H1295" s="159"/>
      <c r="I1295" s="163"/>
      <c r="J1295" s="161"/>
      <c r="K1295" s="161"/>
      <c r="L1295" s="163"/>
      <c r="M1295" s="71" t="s">
        <v>112</v>
      </c>
      <c r="N1295" s="302">
        <f>SUM(N1292:N1294)</f>
        <v>49.57</v>
      </c>
    </row>
    <row r="1296" spans="2:14" ht="3.95" customHeight="1" thickBot="1">
      <c r="D1296" s="175"/>
      <c r="E1296" s="159"/>
      <c r="F1296" s="173"/>
      <c r="G1296" s="159"/>
      <c r="H1296" s="161"/>
      <c r="I1296" s="163"/>
      <c r="J1296" s="161"/>
      <c r="K1296" s="161"/>
      <c r="L1296" s="163"/>
      <c r="M1296" s="161"/>
      <c r="N1296" s="305"/>
    </row>
    <row r="1297" spans="2:15" ht="20.100000000000001" customHeight="1">
      <c r="D1297" s="177"/>
      <c r="E1297" s="178"/>
      <c r="F1297" s="178"/>
      <c r="G1297" s="178"/>
      <c r="H1297" s="179"/>
      <c r="I1297" s="239"/>
      <c r="J1297" s="127" t="s">
        <v>114</v>
      </c>
      <c r="K1297" s="128"/>
      <c r="L1297" s="306"/>
      <c r="M1297" s="129">
        <v>0.02</v>
      </c>
      <c r="N1297" s="307">
        <f>(+N1282+N1288+N1295)*M1297</f>
        <v>1.7434000000000001</v>
      </c>
    </row>
    <row r="1298" spans="2:15" ht="20.100000000000001" customHeight="1" thickBot="1">
      <c r="D1298" s="180"/>
      <c r="E1298" s="181"/>
      <c r="F1298" s="181"/>
      <c r="G1298" s="181"/>
      <c r="H1298" s="181"/>
      <c r="I1298" s="240"/>
      <c r="J1298" s="537" t="s">
        <v>149</v>
      </c>
      <c r="K1298" s="538"/>
      <c r="L1298" s="538"/>
      <c r="M1298" s="538"/>
      <c r="N1298" s="308">
        <f>+N1282+N1288+N1295+N1297</f>
        <v>88.913399999999996</v>
      </c>
    </row>
    <row r="1299" spans="2:15" ht="20.100000000000001" customHeight="1" thickBot="1">
      <c r="D1299" s="182"/>
      <c r="E1299" s="183"/>
      <c r="F1299" s="183"/>
      <c r="G1299" s="183"/>
      <c r="H1299" s="183"/>
      <c r="I1299" s="241"/>
      <c r="J1299" s="184" t="s">
        <v>158</v>
      </c>
      <c r="K1299" s="185"/>
      <c r="L1299" s="309"/>
      <c r="M1299" s="186">
        <f>DI</f>
        <v>0.26700000000000002</v>
      </c>
      <c r="N1299" s="310">
        <f>(M1299*N1298)+N1298</f>
        <v>112.6532778</v>
      </c>
    </row>
    <row r="1300" spans="2:15" s="192" customFormat="1" ht="19.5" customHeight="1">
      <c r="B1300" s="198"/>
      <c r="C1300" s="198"/>
      <c r="D1300" s="193"/>
      <c r="E1300" s="193"/>
      <c r="F1300" s="193"/>
      <c r="G1300" s="193"/>
      <c r="H1300" s="194"/>
      <c r="I1300" s="242"/>
      <c r="J1300" s="193"/>
      <c r="K1300" s="193"/>
      <c r="L1300" s="242"/>
      <c r="M1300" s="193"/>
      <c r="N1300" s="242"/>
      <c r="O1300" s="390"/>
    </row>
    <row r="1301" spans="2:15" s="192" customFormat="1" ht="19.5" customHeight="1">
      <c r="B1301" s="198"/>
      <c r="C1301" s="198"/>
      <c r="D1301" s="193"/>
      <c r="E1301" s="193"/>
      <c r="F1301" s="193"/>
      <c r="G1301" s="193"/>
      <c r="H1301" s="194"/>
      <c r="I1301" s="242"/>
      <c r="J1301" s="193"/>
      <c r="K1301" s="193"/>
      <c r="L1301" s="242"/>
      <c r="M1301" s="193"/>
      <c r="N1301" s="242"/>
      <c r="O1301" s="390"/>
    </row>
    <row r="1302" spans="2:15" s="192" customFormat="1" ht="19.5" customHeight="1" thickBot="1">
      <c r="B1302" s="198"/>
      <c r="C1302" s="198"/>
      <c r="D1302" s="193"/>
      <c r="E1302" s="193"/>
      <c r="F1302" s="193"/>
      <c r="G1302" s="193"/>
      <c r="H1302" s="194"/>
      <c r="I1302" s="242"/>
      <c r="J1302" s="193"/>
      <c r="K1302" s="193"/>
      <c r="L1302" s="242"/>
      <c r="M1302" s="193"/>
      <c r="N1302" s="242"/>
      <c r="O1302" s="390"/>
    </row>
    <row r="1303" spans="2:15" ht="20.100000000000001" customHeight="1">
      <c r="B1303" s="197" t="s">
        <v>208</v>
      </c>
      <c r="D1303" s="520"/>
      <c r="E1303" s="521"/>
      <c r="F1303" s="524" t="s">
        <v>74</v>
      </c>
      <c r="G1303" s="525"/>
      <c r="H1303" s="525"/>
      <c r="I1303" s="525"/>
      <c r="J1303" s="525"/>
      <c r="K1303" s="525"/>
      <c r="L1303" s="526"/>
      <c r="M1303" s="19" t="s">
        <v>75</v>
      </c>
      <c r="N1303" s="20" t="s">
        <v>76</v>
      </c>
    </row>
    <row r="1304" spans="2:15" ht="20.100000000000001" customHeight="1">
      <c r="D1304" s="522"/>
      <c r="E1304" s="523"/>
      <c r="F1304" s="512" t="str">
        <f>VLOOKUP(B1303,Resumo_Composições,3,FALSE)</f>
        <v>BASE DE BRITA GRADUADA SIMPLES - BGS</v>
      </c>
      <c r="G1304" s="519"/>
      <c r="H1304" s="519"/>
      <c r="I1304" s="519"/>
      <c r="J1304" s="519"/>
      <c r="K1304" s="519"/>
      <c r="L1304" s="513"/>
      <c r="M1304" s="24" t="str">
        <f>VLOOKUP(B1303,Resumo_Composições,4,FALSE)</f>
        <v>M3</v>
      </c>
      <c r="N1304" s="25">
        <f>DATA</f>
        <v>41214</v>
      </c>
    </row>
    <row r="1305" spans="2:15" ht="20.100000000000001" customHeight="1">
      <c r="D1305" s="26" t="s">
        <v>77</v>
      </c>
      <c r="E1305" s="27"/>
      <c r="F1305" s="27"/>
      <c r="G1305" s="27"/>
      <c r="H1305" s="28"/>
      <c r="I1305" s="214" t="s">
        <v>78</v>
      </c>
      <c r="J1305" s="509" t="s">
        <v>79</v>
      </c>
      <c r="K1305" s="511"/>
      <c r="L1305" s="535" t="s">
        <v>80</v>
      </c>
      <c r="M1305" s="536"/>
      <c r="N1305" s="516" t="s">
        <v>81</v>
      </c>
    </row>
    <row r="1306" spans="2:15" ht="20.100000000000001" customHeight="1">
      <c r="D1306" s="31"/>
      <c r="E1306" s="32"/>
      <c r="F1306" s="32"/>
      <c r="G1306" s="32"/>
      <c r="H1306" s="33"/>
      <c r="I1306" s="34"/>
      <c r="J1306" s="51" t="s">
        <v>82</v>
      </c>
      <c r="K1306" s="51" t="s">
        <v>83</v>
      </c>
      <c r="L1306" s="51" t="s">
        <v>82</v>
      </c>
      <c r="M1306" s="51" t="s">
        <v>84</v>
      </c>
      <c r="N1306" s="517"/>
    </row>
    <row r="1307" spans="2:15" ht="20.100000000000001" customHeight="1">
      <c r="B1307" s="260" t="s">
        <v>288</v>
      </c>
      <c r="D1307" s="35" t="str">
        <f>IF(B1307=0,0,VLOOKUP(B1307,EQUIP,3,FALSE))</f>
        <v>ROLO COMPACTADOR TANDEM VIBRAT. AUTOPROPO. 10,9 T (112 KW)</v>
      </c>
      <c r="E1307" s="91"/>
      <c r="F1307" s="91"/>
      <c r="G1307" s="91"/>
      <c r="H1307" s="92"/>
      <c r="I1307" s="215">
        <v>1</v>
      </c>
      <c r="J1307" s="38">
        <v>0.73</v>
      </c>
      <c r="K1307" s="38">
        <f>1-J1307</f>
        <v>0.27</v>
      </c>
      <c r="L1307" s="215">
        <f>IF(B1307=0,0,VLOOKUP(B1307,EQUIP,6,FALSE))</f>
        <v>112.07</v>
      </c>
      <c r="M1307" s="38">
        <f>IF(B1307=0,0,VLOOKUP(B1307,EQUIP,7,FALSE))</f>
        <v>17.27</v>
      </c>
      <c r="N1307" s="400">
        <f>ROUND(I1307*J1307*L1307+K1307*M1307,2)</f>
        <v>86.47</v>
      </c>
    </row>
    <row r="1308" spans="2:15" ht="20.100000000000001" customHeight="1">
      <c r="B1308" s="260" t="s">
        <v>285</v>
      </c>
      <c r="D1308" s="35" t="str">
        <f>IF(B1308=0,0,VLOOKUP(B1308,EQUIP,3,FALSE))</f>
        <v>ROLO COMPACTADOR DE PNEUS 21 t (97 KW)</v>
      </c>
      <c r="E1308" s="36"/>
      <c r="F1308" s="36"/>
      <c r="G1308" s="36"/>
      <c r="H1308" s="37"/>
      <c r="I1308" s="215">
        <v>1</v>
      </c>
      <c r="J1308" s="39">
        <v>0.75</v>
      </c>
      <c r="K1308" s="38">
        <f>1-J1308</f>
        <v>0.25</v>
      </c>
      <c r="L1308" s="215">
        <f>IF(B1308=0,0,VLOOKUP(B1308,EQUIP,6,FALSE))</f>
        <v>96.39</v>
      </c>
      <c r="M1308" s="38">
        <f>IF(B1308=0,0,VLOOKUP(B1308,EQUIP,7,FALSE))</f>
        <v>17.27</v>
      </c>
      <c r="N1308" s="400">
        <f>ROUND(I1308*J1308*L1308+K1308*M1308,2)</f>
        <v>76.61</v>
      </c>
    </row>
    <row r="1309" spans="2:15" ht="20.100000000000001" customHeight="1">
      <c r="B1309" s="260" t="s">
        <v>274</v>
      </c>
      <c r="D1309" s="35" t="str">
        <f>IF(B1309=0,0,VLOOKUP(B1309,EQUIP,3,FALSE))</f>
        <v>DISTRIBUIDOR DE AGREGADOS - REBOCÁVEL</v>
      </c>
      <c r="E1309" s="91"/>
      <c r="F1309" s="91"/>
      <c r="G1309" s="91"/>
      <c r="H1309" s="92"/>
      <c r="I1309" s="215">
        <v>1</v>
      </c>
      <c r="J1309" s="38">
        <v>0.89</v>
      </c>
      <c r="K1309" s="38">
        <f>1-J1309</f>
        <v>0.10999999999999999</v>
      </c>
      <c r="L1309" s="215">
        <f>IF(B1309=0,0,VLOOKUP(B1309,EQUIP,6,FALSE))</f>
        <v>3.26</v>
      </c>
      <c r="M1309" s="38">
        <f>IF(B1309=0,0,VLOOKUP(B1309,EQUIP,7,FALSE))</f>
        <v>0</v>
      </c>
      <c r="N1309" s="400">
        <f>ROUND(I1309*J1309*L1309+K1309*M1309,2)</f>
        <v>2.9</v>
      </c>
    </row>
    <row r="1310" spans="2:15" ht="20.100000000000001" customHeight="1">
      <c r="B1310" s="260" t="s">
        <v>262</v>
      </c>
      <c r="D1310" s="35" t="str">
        <f>IF(B1310=0,0,VLOOKUP(B1310,EQUIP,3,FALSE))</f>
        <v>CAMINHÃO BASCULANTE 10m3 - 15 T (170 KW)</v>
      </c>
      <c r="E1310" s="36"/>
      <c r="F1310" s="36"/>
      <c r="G1310" s="36"/>
      <c r="H1310" s="37"/>
      <c r="I1310" s="55">
        <v>3.56</v>
      </c>
      <c r="J1310" s="38">
        <v>1</v>
      </c>
      <c r="K1310" s="38">
        <f>1-J1310</f>
        <v>0</v>
      </c>
      <c r="L1310" s="215">
        <f>IF(B1310=0,0,VLOOKUP(B1310,EQUIP,6,FALSE))</f>
        <v>135.83000000000001</v>
      </c>
      <c r="M1310" s="38">
        <f>IF(B1310=0,0,VLOOKUP(B1310,EQUIP,7,FALSE))</f>
        <v>20.47</v>
      </c>
      <c r="N1310" s="400">
        <f>ROUND(I1310*J1310*L1310+K1310*M1310,2)</f>
        <v>483.55</v>
      </c>
    </row>
    <row r="1311" spans="2:15" ht="20.100000000000001" customHeight="1">
      <c r="B1311" s="260" t="s">
        <v>265</v>
      </c>
      <c r="D1311" s="35" t="str">
        <f>IF(B1311=0,0,VLOOKUP(B1311,EQUIP,3,FALSE))</f>
        <v>CAMINHÃO TANQUE 10.000 l</v>
      </c>
      <c r="E1311" s="36"/>
      <c r="F1311" s="36"/>
      <c r="G1311" s="36"/>
      <c r="H1311" s="37"/>
      <c r="I1311" s="215">
        <v>1</v>
      </c>
      <c r="J1311" s="38">
        <v>0.7</v>
      </c>
      <c r="K1311" s="38">
        <f>1-J1311</f>
        <v>0.30000000000000004</v>
      </c>
      <c r="L1311" s="215">
        <f>IF(B1311=0,0,VLOOKUP(B1311,EQUIP,6,FALSE))</f>
        <v>126.87</v>
      </c>
      <c r="M1311" s="38">
        <f>IF(B1311=0,0,VLOOKUP(B1311,EQUIP,7,FALSE))</f>
        <v>20.47</v>
      </c>
      <c r="N1311" s="400">
        <f>ROUND(I1311*J1311*L1311+K1311*M1311,2)</f>
        <v>94.95</v>
      </c>
    </row>
    <row r="1312" spans="2:15" ht="20.100000000000001" customHeight="1">
      <c r="D1312" s="155"/>
      <c r="E1312" s="156"/>
      <c r="F1312" s="156"/>
      <c r="G1312" s="156"/>
      <c r="H1312" s="156"/>
      <c r="I1312" s="235"/>
      <c r="J1312" s="157"/>
      <c r="K1312" s="157"/>
      <c r="L1312" s="216"/>
      <c r="M1312" s="42" t="s">
        <v>89</v>
      </c>
      <c r="N1312" s="401">
        <f>SUM(N1307:N1311)</f>
        <v>744.48</v>
      </c>
    </row>
    <row r="1313" spans="2:14" ht="3.95" customHeight="1">
      <c r="D1313" s="158"/>
      <c r="E1313" s="159"/>
      <c r="F1313" s="159"/>
      <c r="G1313" s="160"/>
      <c r="H1313" s="159"/>
      <c r="I1313" s="236"/>
      <c r="J1313" s="161"/>
      <c r="K1313" s="162"/>
      <c r="L1313" s="163"/>
      <c r="M1313" s="163"/>
      <c r="N1313" s="300"/>
    </row>
    <row r="1314" spans="2:14" ht="20.100000000000001" customHeight="1">
      <c r="D1314" s="518" t="s">
        <v>90</v>
      </c>
      <c r="E1314" s="519"/>
      <c r="F1314" s="519"/>
      <c r="G1314" s="519"/>
      <c r="H1314" s="519"/>
      <c r="I1314" s="519"/>
      <c r="J1314" s="513"/>
      <c r="K1314" s="50" t="s">
        <v>91</v>
      </c>
      <c r="L1314" s="51" t="s">
        <v>92</v>
      </c>
      <c r="M1314" s="51" t="s">
        <v>93</v>
      </c>
      <c r="N1314" s="272" t="s">
        <v>94</v>
      </c>
    </row>
    <row r="1315" spans="2:14" ht="20.100000000000001" customHeight="1">
      <c r="B1315" s="260" t="s">
        <v>250</v>
      </c>
      <c r="D1315" s="52" t="str">
        <f>IF(B1315=0,0,VLOOKUP(B1315,MO,2,FALSE))</f>
        <v>ENCARREGADO DE PAVIMENTAÇÃO</v>
      </c>
      <c r="E1315" s="53"/>
      <c r="F1315" s="53"/>
      <c r="G1315" s="53"/>
      <c r="H1315" s="53"/>
      <c r="I1315" s="36"/>
      <c r="J1315" s="54"/>
      <c r="K1315" s="152"/>
      <c r="L1315" s="164">
        <v>1</v>
      </c>
      <c r="M1315" s="55">
        <f>IF(B1315=0,0,VLOOKUP(B1315,MO,6,FALSE))</f>
        <v>44.786799999999999</v>
      </c>
      <c r="N1315" s="301">
        <f>ROUND(L1315*M1315,2)</f>
        <v>44.79</v>
      </c>
    </row>
    <row r="1316" spans="2:14" ht="20.100000000000001" customHeight="1">
      <c r="B1316" s="260" t="s">
        <v>248</v>
      </c>
      <c r="D1316" s="52" t="str">
        <f>IF(B1316=0,0,VLOOKUP(B1316,MO,2,FALSE))</f>
        <v>SERVENTE</v>
      </c>
      <c r="E1316" s="53"/>
      <c r="F1316" s="53"/>
      <c r="G1316" s="53"/>
      <c r="H1316" s="53"/>
      <c r="I1316" s="36"/>
      <c r="J1316" s="54"/>
      <c r="K1316" s="152"/>
      <c r="L1316" s="164">
        <v>3</v>
      </c>
      <c r="M1316" s="55">
        <f>IF(B1316=0,0,VLOOKUP(B1316,MO,6,FALSE))</f>
        <v>7.9973000000000001</v>
      </c>
      <c r="N1316" s="301">
        <f>ROUND(L1316*M1316,2)</f>
        <v>23.99</v>
      </c>
    </row>
    <row r="1317" spans="2:14" ht="20.100000000000001" customHeight="1">
      <c r="B1317" s="260"/>
      <c r="D1317" s="52" t="s">
        <v>122</v>
      </c>
      <c r="E1317" s="53"/>
      <c r="F1317" s="53"/>
      <c r="G1317" s="53"/>
      <c r="H1317" s="53"/>
      <c r="I1317" s="36"/>
      <c r="J1317" s="54"/>
      <c r="K1317" s="165">
        <v>0</v>
      </c>
      <c r="L1317" s="166">
        <f>N1315+N1316</f>
        <v>68.78</v>
      </c>
      <c r="M1317" s="164"/>
      <c r="N1317" s="316">
        <f>ROUND(L1317*K1317,2)</f>
        <v>0</v>
      </c>
    </row>
    <row r="1318" spans="2:14" ht="20.100000000000001" customHeight="1">
      <c r="D1318" s="167"/>
      <c r="E1318" s="59"/>
      <c r="F1318" s="168"/>
      <c r="G1318" s="168"/>
      <c r="H1318" s="159"/>
      <c r="I1318" s="236"/>
      <c r="J1318" s="169"/>
      <c r="K1318" s="162"/>
      <c r="L1318" s="163"/>
      <c r="M1318" s="62" t="s">
        <v>98</v>
      </c>
      <c r="N1318" s="302">
        <f>SUM(N1315:N1317)</f>
        <v>68.78</v>
      </c>
    </row>
    <row r="1319" spans="2:14" ht="3.95" customHeight="1">
      <c r="D1319" s="158"/>
      <c r="E1319" s="159"/>
      <c r="F1319" s="159"/>
      <c r="G1319" s="159"/>
      <c r="H1319" s="159"/>
      <c r="I1319" s="236"/>
      <c r="J1319" s="169"/>
      <c r="K1319" s="162"/>
      <c r="L1319" s="163"/>
      <c r="M1319" s="163"/>
      <c r="N1319" s="300"/>
    </row>
    <row r="1320" spans="2:14" ht="20.100000000000001" customHeight="1">
      <c r="D1320" s="170"/>
      <c r="E1320" s="168"/>
      <c r="F1320" s="168"/>
      <c r="G1320" s="168"/>
      <c r="H1320" s="171"/>
      <c r="I1320" s="237"/>
      <c r="J1320" s="171"/>
      <c r="K1320" s="509" t="s">
        <v>99</v>
      </c>
      <c r="L1320" s="510"/>
      <c r="M1320" s="511"/>
      <c r="N1320" s="303">
        <f>+N1312+N1318</f>
        <v>813.26</v>
      </c>
    </row>
    <row r="1321" spans="2:14" ht="3.95" customHeight="1">
      <c r="D1321" s="172"/>
      <c r="E1321" s="159"/>
      <c r="F1321" s="159"/>
      <c r="G1321" s="160"/>
      <c r="H1321" s="159"/>
      <c r="I1321" s="236"/>
      <c r="J1321" s="161"/>
      <c r="K1321" s="162"/>
      <c r="L1321" s="163"/>
      <c r="M1321" s="163"/>
      <c r="N1321" s="300"/>
    </row>
    <row r="1322" spans="2:14" ht="20.100000000000001" customHeight="1">
      <c r="D1322" s="167"/>
      <c r="E1322" s="509" t="s">
        <v>100</v>
      </c>
      <c r="F1322" s="510"/>
      <c r="G1322" s="510"/>
      <c r="H1322" s="511"/>
      <c r="I1322" s="238">
        <v>210</v>
      </c>
      <c r="J1322" s="163"/>
      <c r="K1322" s="506" t="s">
        <v>101</v>
      </c>
      <c r="L1322" s="507"/>
      <c r="M1322" s="508"/>
      <c r="N1322" s="304">
        <f>ROUND(N1320/I1322,2)</f>
        <v>3.87</v>
      </c>
    </row>
    <row r="1323" spans="2:14" ht="3.95" customHeight="1">
      <c r="D1323" s="158"/>
      <c r="E1323" s="159"/>
      <c r="F1323" s="159"/>
      <c r="G1323" s="173"/>
      <c r="H1323" s="159"/>
      <c r="I1323" s="163"/>
      <c r="J1323" s="161"/>
      <c r="K1323" s="161"/>
      <c r="L1323" s="163"/>
      <c r="M1323" s="161"/>
      <c r="N1323" s="305"/>
    </row>
    <row r="1324" spans="2:14" ht="20.100000000000001" customHeight="1">
      <c r="D1324" s="49" t="s">
        <v>102</v>
      </c>
      <c r="E1324" s="22"/>
      <c r="F1324" s="22"/>
      <c r="G1324" s="22"/>
      <c r="H1324" s="22"/>
      <c r="I1324" s="141"/>
      <c r="J1324" s="23"/>
      <c r="K1324" s="50" t="s">
        <v>103</v>
      </c>
      <c r="L1324" s="51" t="s">
        <v>80</v>
      </c>
      <c r="M1324" s="51" t="s">
        <v>104</v>
      </c>
      <c r="N1324" s="272" t="s">
        <v>105</v>
      </c>
    </row>
    <row r="1325" spans="2:14" ht="20.100000000000001" customHeight="1">
      <c r="B1325" s="260" t="s">
        <v>448</v>
      </c>
      <c r="D1325" s="52" t="str">
        <f>IF(B1325=0,0,VLOOKUP(B1325,MAT,3,FALSE))</f>
        <v>USINAGEM DE BRITA GRADUADA</v>
      </c>
      <c r="E1325" s="53"/>
      <c r="F1325" s="53"/>
      <c r="G1325" s="53"/>
      <c r="H1325" s="53"/>
      <c r="I1325" s="36"/>
      <c r="J1325" s="54"/>
      <c r="K1325" s="66" t="str">
        <f>IF(B1325=0,0,VLOOKUP(B1325,MAT,5,FALSE))</f>
        <v>M3</v>
      </c>
      <c r="L1325" s="55">
        <f>IF(B1325=0,0,VLOOKUP(B1325,MAT,6,FALSE))</f>
        <v>52.57</v>
      </c>
      <c r="M1325" s="433">
        <v>1</v>
      </c>
      <c r="N1325" s="301">
        <f>ROUND(L1325*M1325,2)</f>
        <v>52.57</v>
      </c>
    </row>
    <row r="1326" spans="2:14" ht="20.100000000000001" customHeight="1">
      <c r="B1326" s="260"/>
      <c r="D1326" s="52"/>
      <c r="E1326" s="53"/>
      <c r="F1326" s="53"/>
      <c r="G1326" s="53"/>
      <c r="H1326" s="53"/>
      <c r="I1326" s="36"/>
      <c r="J1326" s="54"/>
      <c r="K1326" s="66"/>
      <c r="L1326" s="211"/>
      <c r="M1326" s="174"/>
      <c r="N1326" s="316">
        <f>ROUND(L1326*M1326,2)</f>
        <v>0</v>
      </c>
    </row>
    <row r="1327" spans="2:14" ht="20.100000000000001" customHeight="1">
      <c r="B1327" s="260"/>
      <c r="D1327" s="52"/>
      <c r="E1327" s="53"/>
      <c r="F1327" s="53"/>
      <c r="G1327" s="53"/>
      <c r="H1327" s="53"/>
      <c r="I1327" s="36"/>
      <c r="J1327" s="54"/>
      <c r="K1327" s="66"/>
      <c r="L1327" s="67"/>
      <c r="M1327" s="174"/>
      <c r="N1327" s="316">
        <f>ROUND(L1327*M1327,2)</f>
        <v>0</v>
      </c>
    </row>
    <row r="1328" spans="2:14" ht="20.100000000000001" customHeight="1">
      <c r="D1328" s="158"/>
      <c r="E1328" s="159"/>
      <c r="F1328" s="159"/>
      <c r="G1328" s="173"/>
      <c r="H1328" s="159"/>
      <c r="I1328" s="163"/>
      <c r="J1328" s="161"/>
      <c r="K1328" s="161"/>
      <c r="L1328" s="163"/>
      <c r="M1328" s="71" t="s">
        <v>106</v>
      </c>
      <c r="N1328" s="302">
        <f>SUM(N1325:N1327)</f>
        <v>52.57</v>
      </c>
    </row>
    <row r="1329" spans="2:15" ht="20.100000000000001" customHeight="1">
      <c r="D1329" s="158"/>
      <c r="E1329" s="159"/>
      <c r="F1329" s="159"/>
      <c r="G1329" s="173"/>
      <c r="H1329" s="159"/>
      <c r="I1329" s="163"/>
      <c r="J1329" s="161"/>
      <c r="K1329" s="161"/>
      <c r="L1329" s="163"/>
      <c r="M1329" s="161"/>
      <c r="N1329" s="305"/>
    </row>
    <row r="1330" spans="2:15" ht="20.100000000000001" customHeight="1">
      <c r="D1330" s="527" t="s">
        <v>107</v>
      </c>
      <c r="E1330" s="72" t="s">
        <v>2</v>
      </c>
      <c r="F1330" s="73"/>
      <c r="G1330" s="73"/>
      <c r="H1330" s="74"/>
      <c r="I1330" s="498" t="s">
        <v>108</v>
      </c>
      <c r="J1330" s="499"/>
      <c r="K1330" s="531" t="s">
        <v>103</v>
      </c>
      <c r="L1330" s="514" t="s">
        <v>80</v>
      </c>
      <c r="M1330" s="531" t="s">
        <v>109</v>
      </c>
      <c r="N1330" s="529" t="s">
        <v>105</v>
      </c>
    </row>
    <row r="1331" spans="2:15" ht="20.100000000000001" customHeight="1">
      <c r="D1331" s="528"/>
      <c r="E1331" s="512" t="s">
        <v>110</v>
      </c>
      <c r="F1331" s="513"/>
      <c r="G1331" s="512" t="s">
        <v>111</v>
      </c>
      <c r="H1331" s="513"/>
      <c r="I1331" s="500"/>
      <c r="J1331" s="501"/>
      <c r="K1331" s="532"/>
      <c r="L1331" s="515"/>
      <c r="M1331" s="532"/>
      <c r="N1331" s="530"/>
    </row>
    <row r="1332" spans="2:15" ht="21" customHeight="1">
      <c r="B1332" s="260" t="s">
        <v>328</v>
      </c>
      <c r="D1332" s="268" t="str">
        <f>IF(B1332=0,0,VLOOKUP(B1332,TRANS,3,FALSE))</f>
        <v>BRITA ( PED - USINA )</v>
      </c>
      <c r="E1332" s="504">
        <f>IF(B1332=0,0,VLOOKUP(B1332,TRANS,5,FALSE))</f>
        <v>0.33</v>
      </c>
      <c r="F1332" s="505"/>
      <c r="G1332" s="502"/>
      <c r="H1332" s="503"/>
      <c r="I1332" s="496">
        <f>IF(B1332=0,0,VLOOKUP(B1332,TRANS,6,FALSE))</f>
        <v>1</v>
      </c>
      <c r="J1332" s="497"/>
      <c r="K1332" s="262" t="str">
        <f>IF(B1332=0,0,VLOOKUP(B1332,TRANS,4,FALSE))</f>
        <v>T.KM</v>
      </c>
      <c r="L1332" s="55">
        <f>E1332*I1332</f>
        <v>0.33</v>
      </c>
      <c r="M1332" s="432">
        <v>2.2000000000000002</v>
      </c>
      <c r="N1332" s="278">
        <f>ROUND(L1332*M1332,2)</f>
        <v>0.73</v>
      </c>
    </row>
    <row r="1333" spans="2:15" ht="21" customHeight="1">
      <c r="B1333" s="260" t="s">
        <v>493</v>
      </c>
      <c r="D1333" s="268" t="str">
        <f>IF(B1333=0,0,VLOOKUP(B1333,TRANS,3,FALSE))</f>
        <v>USINAGEM DE BRITA GRAD. (USINA - PISTA)</v>
      </c>
      <c r="E1333" s="504">
        <f>IF(B1333=0,0,VLOOKUP(B1333,TRANS,5,FALSE))</f>
        <v>0.35</v>
      </c>
      <c r="F1333" s="505"/>
      <c r="G1333" s="502"/>
      <c r="H1333" s="503"/>
      <c r="I1333" s="496">
        <f>IF(B1333=0,0,VLOOKUP(B1333,TRANS,6,FALSE))</f>
        <v>45.53</v>
      </c>
      <c r="J1333" s="497"/>
      <c r="K1333" s="262" t="str">
        <f>IF(B1333=0,0,VLOOKUP(B1333,TRANS,4,FALSE))</f>
        <v>T.KM</v>
      </c>
      <c r="L1333" s="55">
        <f>E1333*I1333</f>
        <v>15.935499999999999</v>
      </c>
      <c r="M1333" s="432">
        <v>2.2000000000000002</v>
      </c>
      <c r="N1333" s="278">
        <f>ROUND(L1333*M1333,2)</f>
        <v>35.06</v>
      </c>
    </row>
    <row r="1334" spans="2:15" ht="21" customHeight="1">
      <c r="B1334" s="260"/>
      <c r="D1334" s="268"/>
      <c r="E1334" s="504"/>
      <c r="F1334" s="505"/>
      <c r="G1334" s="502"/>
      <c r="H1334" s="503"/>
      <c r="I1334" s="533"/>
      <c r="J1334" s="534"/>
      <c r="K1334" s="66"/>
      <c r="L1334" s="67"/>
      <c r="M1334" s="70"/>
      <c r="N1334" s="317">
        <f>ROUND(L1334*M1334,2)</f>
        <v>0</v>
      </c>
    </row>
    <row r="1335" spans="2:15" ht="20.100000000000001" customHeight="1">
      <c r="D1335" s="175"/>
      <c r="E1335" s="176"/>
      <c r="F1335" s="159"/>
      <c r="G1335" s="173"/>
      <c r="H1335" s="159"/>
      <c r="I1335" s="163"/>
      <c r="J1335" s="161"/>
      <c r="K1335" s="161"/>
      <c r="L1335" s="163"/>
      <c r="M1335" s="71" t="s">
        <v>112</v>
      </c>
      <c r="N1335" s="302">
        <f>SUM(N1332:N1334)</f>
        <v>35.79</v>
      </c>
    </row>
    <row r="1336" spans="2:15" ht="3.95" customHeight="1" thickBot="1">
      <c r="D1336" s="175"/>
      <c r="E1336" s="159"/>
      <c r="F1336" s="173"/>
      <c r="G1336" s="159"/>
      <c r="H1336" s="161"/>
      <c r="I1336" s="163"/>
      <c r="J1336" s="161"/>
      <c r="K1336" s="161"/>
      <c r="L1336" s="163"/>
      <c r="M1336" s="161"/>
      <c r="N1336" s="305"/>
    </row>
    <row r="1337" spans="2:15" ht="20.100000000000001" customHeight="1">
      <c r="D1337" s="177"/>
      <c r="E1337" s="178"/>
      <c r="F1337" s="178"/>
      <c r="G1337" s="178"/>
      <c r="H1337" s="179"/>
      <c r="I1337" s="239"/>
      <c r="J1337" s="127" t="s">
        <v>114</v>
      </c>
      <c r="K1337" s="128"/>
      <c r="L1337" s="306"/>
      <c r="M1337" s="129">
        <v>0.02</v>
      </c>
      <c r="N1337" s="307">
        <f>(+N1322+N1328+N1335)*M1337</f>
        <v>1.8445999999999998</v>
      </c>
    </row>
    <row r="1338" spans="2:15" ht="20.100000000000001" customHeight="1" thickBot="1">
      <c r="D1338" s="180"/>
      <c r="E1338" s="181"/>
      <c r="F1338" s="181"/>
      <c r="G1338" s="181"/>
      <c r="H1338" s="181"/>
      <c r="I1338" s="240"/>
      <c r="J1338" s="537" t="s">
        <v>149</v>
      </c>
      <c r="K1338" s="538"/>
      <c r="L1338" s="538"/>
      <c r="M1338" s="538"/>
      <c r="N1338" s="308">
        <f>+N1322+N1328+N1335+N1337</f>
        <v>94.07459999999999</v>
      </c>
    </row>
    <row r="1339" spans="2:15" ht="20.100000000000001" customHeight="1" thickBot="1">
      <c r="D1339" s="182"/>
      <c r="E1339" s="183"/>
      <c r="F1339" s="183"/>
      <c r="G1339" s="183"/>
      <c r="H1339" s="183"/>
      <c r="I1339" s="241"/>
      <c r="J1339" s="184" t="s">
        <v>158</v>
      </c>
      <c r="K1339" s="185"/>
      <c r="L1339" s="309"/>
      <c r="M1339" s="186">
        <f>DI</f>
        <v>0.26700000000000002</v>
      </c>
      <c r="N1339" s="310">
        <f>(M1339*N1338)+N1338</f>
        <v>119.19251819999999</v>
      </c>
    </row>
    <row r="1340" spans="2:15" s="192" customFormat="1" ht="19.5" customHeight="1">
      <c r="B1340" s="198"/>
      <c r="C1340" s="198"/>
      <c r="D1340" s="193"/>
      <c r="E1340" s="193"/>
      <c r="F1340" s="193"/>
      <c r="G1340" s="193"/>
      <c r="H1340" s="194"/>
      <c r="I1340" s="242"/>
      <c r="J1340" s="193"/>
      <c r="K1340" s="193"/>
      <c r="L1340" s="242"/>
      <c r="M1340" s="193"/>
      <c r="N1340" s="242"/>
      <c r="O1340" s="390"/>
    </row>
    <row r="1341" spans="2:15" s="192" customFormat="1" ht="19.5" customHeight="1">
      <c r="B1341" s="198"/>
      <c r="C1341" s="198"/>
      <c r="D1341" s="193"/>
      <c r="E1341" s="193"/>
      <c r="F1341" s="193"/>
      <c r="G1341" s="193"/>
      <c r="H1341" s="194"/>
      <c r="I1341" s="242"/>
      <c r="J1341" s="193"/>
      <c r="K1341" s="193"/>
      <c r="L1341" s="242"/>
      <c r="M1341" s="193"/>
      <c r="N1341" s="242"/>
      <c r="O1341" s="390"/>
    </row>
    <row r="1342" spans="2:15" s="192" customFormat="1" ht="19.5" customHeight="1" thickBot="1">
      <c r="B1342" s="198"/>
      <c r="C1342" s="198"/>
      <c r="D1342" s="193"/>
      <c r="E1342" s="193"/>
      <c r="F1342" s="193"/>
      <c r="G1342" s="193"/>
      <c r="H1342" s="194"/>
      <c r="I1342" s="242"/>
      <c r="J1342" s="193"/>
      <c r="K1342" s="193"/>
      <c r="L1342" s="242"/>
      <c r="M1342" s="193"/>
      <c r="N1342" s="242"/>
      <c r="O1342" s="390"/>
    </row>
    <row r="1343" spans="2:15" ht="20.100000000000001" customHeight="1">
      <c r="B1343" s="197" t="s">
        <v>209</v>
      </c>
      <c r="D1343" s="520" t="s">
        <v>238</v>
      </c>
      <c r="E1343" s="521"/>
      <c r="F1343" s="524" t="s">
        <v>74</v>
      </c>
      <c r="G1343" s="525"/>
      <c r="H1343" s="525"/>
      <c r="I1343" s="525"/>
      <c r="J1343" s="525"/>
      <c r="K1343" s="525"/>
      <c r="L1343" s="526"/>
      <c r="M1343" s="19" t="s">
        <v>75</v>
      </c>
      <c r="N1343" s="20" t="s">
        <v>76</v>
      </c>
    </row>
    <row r="1344" spans="2:15" ht="20.100000000000001" customHeight="1">
      <c r="D1344" s="522"/>
      <c r="E1344" s="523"/>
      <c r="F1344" s="512" t="str">
        <f>VLOOKUP(B1343,Resumo_Composições,3,FALSE)</f>
        <v>BASE DE SOLO-CIMENTO C/ MISTURA EM USINA</v>
      </c>
      <c r="G1344" s="519"/>
      <c r="H1344" s="519"/>
      <c r="I1344" s="519"/>
      <c r="J1344" s="519"/>
      <c r="K1344" s="519"/>
      <c r="L1344" s="513"/>
      <c r="M1344" s="24" t="str">
        <f>VLOOKUP(B1343,Resumo_Composições,4,FALSE)</f>
        <v>M3</v>
      </c>
      <c r="N1344" s="25">
        <f>DATA</f>
        <v>41214</v>
      </c>
    </row>
    <row r="1345" spans="2:14" ht="20.100000000000001" customHeight="1">
      <c r="D1345" s="26" t="s">
        <v>77</v>
      </c>
      <c r="E1345" s="27"/>
      <c r="F1345" s="27"/>
      <c r="G1345" s="27"/>
      <c r="H1345" s="28"/>
      <c r="I1345" s="214" t="s">
        <v>78</v>
      </c>
      <c r="J1345" s="509" t="s">
        <v>79</v>
      </c>
      <c r="K1345" s="511"/>
      <c r="L1345" s="535" t="s">
        <v>80</v>
      </c>
      <c r="M1345" s="536"/>
      <c r="N1345" s="516" t="s">
        <v>81</v>
      </c>
    </row>
    <row r="1346" spans="2:14" ht="20.100000000000001" customHeight="1">
      <c r="D1346" s="31"/>
      <c r="E1346" s="32"/>
      <c r="F1346" s="32"/>
      <c r="G1346" s="32"/>
      <c r="H1346" s="33"/>
      <c r="I1346" s="34"/>
      <c r="J1346" s="51" t="s">
        <v>82</v>
      </c>
      <c r="K1346" s="51" t="s">
        <v>83</v>
      </c>
      <c r="L1346" s="51" t="s">
        <v>82</v>
      </c>
      <c r="M1346" s="51" t="s">
        <v>84</v>
      </c>
      <c r="N1346" s="517"/>
    </row>
    <row r="1347" spans="2:14" ht="20.100000000000001" customHeight="1">
      <c r="B1347" s="260" t="s">
        <v>288</v>
      </c>
      <c r="D1347" s="35" t="str">
        <f t="shared" ref="D1347:D1352" si="79">IF(B1347=0,0,VLOOKUP(B1347,EQUIP,3,FALSE))</f>
        <v>ROLO COMPACTADOR TANDEM VIBRAT. AUTOPROPO. 10,9 T (112 KW)</v>
      </c>
      <c r="E1347" s="91"/>
      <c r="F1347" s="91"/>
      <c r="G1347" s="91"/>
      <c r="H1347" s="92"/>
      <c r="I1347" s="215">
        <v>1</v>
      </c>
      <c r="J1347" s="38">
        <v>0.73</v>
      </c>
      <c r="K1347" s="38">
        <f t="shared" ref="K1347:K1352" si="80">1-J1347</f>
        <v>0.27</v>
      </c>
      <c r="L1347" s="215">
        <f t="shared" ref="L1347:L1352" si="81">IF(B1347=0,0,VLOOKUP(B1347,EQUIP,6,FALSE))</f>
        <v>112.07</v>
      </c>
      <c r="M1347" s="38">
        <f t="shared" ref="M1347:M1352" si="82">IF(B1347=0,0,VLOOKUP(B1347,EQUIP,7,FALSE))</f>
        <v>17.27</v>
      </c>
      <c r="N1347" s="400">
        <f t="shared" ref="N1347:N1352" si="83">ROUND(I1347*J1347*L1347+K1347*M1347,2)</f>
        <v>86.47</v>
      </c>
    </row>
    <row r="1348" spans="2:14" ht="20.100000000000001" customHeight="1">
      <c r="B1348" s="260" t="s">
        <v>285</v>
      </c>
      <c r="D1348" s="35" t="str">
        <f t="shared" si="79"/>
        <v>ROLO COMPACTADOR DE PNEUS 21 t (97 KW)</v>
      </c>
      <c r="E1348" s="36"/>
      <c r="F1348" s="36"/>
      <c r="G1348" s="36"/>
      <c r="H1348" s="37"/>
      <c r="I1348" s="215">
        <v>1</v>
      </c>
      <c r="J1348" s="39">
        <v>0.75</v>
      </c>
      <c r="K1348" s="38">
        <f t="shared" si="80"/>
        <v>0.25</v>
      </c>
      <c r="L1348" s="215">
        <f t="shared" si="81"/>
        <v>96.39</v>
      </c>
      <c r="M1348" s="38">
        <f t="shared" si="82"/>
        <v>17.27</v>
      </c>
      <c r="N1348" s="400">
        <f t="shared" si="83"/>
        <v>76.61</v>
      </c>
    </row>
    <row r="1349" spans="2:14" ht="20.100000000000001" customHeight="1">
      <c r="B1349" s="260" t="s">
        <v>274</v>
      </c>
      <c r="D1349" s="35" t="str">
        <f t="shared" si="79"/>
        <v>DISTRIBUIDOR DE AGREGADOS - REBOCÁVEL</v>
      </c>
      <c r="E1349" s="91"/>
      <c r="F1349" s="91"/>
      <c r="G1349" s="91"/>
      <c r="H1349" s="92"/>
      <c r="I1349" s="215">
        <v>1</v>
      </c>
      <c r="J1349" s="38">
        <v>0.89</v>
      </c>
      <c r="K1349" s="38">
        <f t="shared" si="80"/>
        <v>0.10999999999999999</v>
      </c>
      <c r="L1349" s="215">
        <f t="shared" si="81"/>
        <v>3.26</v>
      </c>
      <c r="M1349" s="38">
        <f t="shared" si="82"/>
        <v>0</v>
      </c>
      <c r="N1349" s="400">
        <f t="shared" si="83"/>
        <v>2.9</v>
      </c>
    </row>
    <row r="1350" spans="2:14" ht="20.100000000000001" customHeight="1">
      <c r="B1350" s="260" t="s">
        <v>276</v>
      </c>
      <c r="D1350" s="35" t="str">
        <f t="shared" si="79"/>
        <v>ESTABILIZADOR / RECICLADORA A FRIO</v>
      </c>
      <c r="E1350" s="91"/>
      <c r="F1350" s="91"/>
      <c r="G1350" s="91"/>
      <c r="H1350" s="92"/>
      <c r="I1350" s="215">
        <v>1</v>
      </c>
      <c r="J1350" s="38">
        <v>0.99</v>
      </c>
      <c r="K1350" s="38">
        <f t="shared" si="80"/>
        <v>1.0000000000000009E-2</v>
      </c>
      <c r="L1350" s="215">
        <f t="shared" si="81"/>
        <v>426.84</v>
      </c>
      <c r="M1350" s="38">
        <f t="shared" si="82"/>
        <v>23.67</v>
      </c>
      <c r="N1350" s="400">
        <f t="shared" si="83"/>
        <v>422.81</v>
      </c>
    </row>
    <row r="1351" spans="2:14" ht="20.100000000000001" customHeight="1">
      <c r="B1351" s="260" t="s">
        <v>262</v>
      </c>
      <c r="D1351" s="35" t="str">
        <f t="shared" si="79"/>
        <v>CAMINHÃO BASCULANTE 10m3 - 15 T (170 KW)</v>
      </c>
      <c r="E1351" s="36"/>
      <c r="F1351" s="36"/>
      <c r="G1351" s="36"/>
      <c r="H1351" s="37"/>
      <c r="I1351" s="55">
        <v>4.0199999999999996</v>
      </c>
      <c r="J1351" s="38">
        <v>1</v>
      </c>
      <c r="K1351" s="38">
        <f t="shared" si="80"/>
        <v>0</v>
      </c>
      <c r="L1351" s="215">
        <f t="shared" si="81"/>
        <v>135.83000000000001</v>
      </c>
      <c r="M1351" s="38">
        <f t="shared" si="82"/>
        <v>20.47</v>
      </c>
      <c r="N1351" s="400">
        <f t="shared" si="83"/>
        <v>546.04</v>
      </c>
    </row>
    <row r="1352" spans="2:14" ht="20.100000000000001" customHeight="1">
      <c r="B1352" s="260" t="s">
        <v>265</v>
      </c>
      <c r="D1352" s="35" t="str">
        <f t="shared" si="79"/>
        <v>CAMINHÃO TANQUE 10.000 l</v>
      </c>
      <c r="E1352" s="36"/>
      <c r="F1352" s="36"/>
      <c r="G1352" s="36"/>
      <c r="H1352" s="37"/>
      <c r="I1352" s="215">
        <v>1</v>
      </c>
      <c r="J1352" s="38">
        <v>0.7</v>
      </c>
      <c r="K1352" s="38">
        <f t="shared" si="80"/>
        <v>0.30000000000000004</v>
      </c>
      <c r="L1352" s="215">
        <f t="shared" si="81"/>
        <v>126.87</v>
      </c>
      <c r="M1352" s="38">
        <f t="shared" si="82"/>
        <v>20.47</v>
      </c>
      <c r="N1352" s="400">
        <f t="shared" si="83"/>
        <v>94.95</v>
      </c>
    </row>
    <row r="1353" spans="2:14" ht="20.100000000000001" customHeight="1">
      <c r="D1353" s="155"/>
      <c r="E1353" s="156"/>
      <c r="F1353" s="156"/>
      <c r="G1353" s="156"/>
      <c r="H1353" s="156"/>
      <c r="I1353" s="235"/>
      <c r="J1353" s="157"/>
      <c r="K1353" s="157"/>
      <c r="L1353" s="216"/>
      <c r="M1353" s="42" t="s">
        <v>89</v>
      </c>
      <c r="N1353" s="401">
        <f>SUM(N1347:N1352)</f>
        <v>1229.78</v>
      </c>
    </row>
    <row r="1354" spans="2:14" ht="3.95" customHeight="1">
      <c r="D1354" s="158"/>
      <c r="E1354" s="159"/>
      <c r="F1354" s="159"/>
      <c r="G1354" s="160"/>
      <c r="H1354" s="159"/>
      <c r="I1354" s="236"/>
      <c r="J1354" s="161"/>
      <c r="K1354" s="162"/>
      <c r="L1354" s="163"/>
      <c r="M1354" s="163"/>
      <c r="N1354" s="300"/>
    </row>
    <row r="1355" spans="2:14" ht="20.100000000000001" customHeight="1">
      <c r="D1355" s="518" t="s">
        <v>90</v>
      </c>
      <c r="E1355" s="519"/>
      <c r="F1355" s="519"/>
      <c r="G1355" s="519"/>
      <c r="H1355" s="519"/>
      <c r="I1355" s="519"/>
      <c r="J1355" s="513"/>
      <c r="K1355" s="50" t="s">
        <v>91</v>
      </c>
      <c r="L1355" s="51" t="s">
        <v>92</v>
      </c>
      <c r="M1355" s="51" t="s">
        <v>93</v>
      </c>
      <c r="N1355" s="272" t="s">
        <v>94</v>
      </c>
    </row>
    <row r="1356" spans="2:14" ht="20.100000000000001" customHeight="1">
      <c r="B1356" s="260" t="s">
        <v>250</v>
      </c>
      <c r="D1356" s="52" t="str">
        <f>IF(B1356=0,0,VLOOKUP(B1356,MO,2,FALSE))</f>
        <v>ENCARREGADO DE PAVIMENTAÇÃO</v>
      </c>
      <c r="E1356" s="53"/>
      <c r="F1356" s="53"/>
      <c r="G1356" s="53"/>
      <c r="H1356" s="53"/>
      <c r="I1356" s="36"/>
      <c r="J1356" s="54"/>
      <c r="K1356" s="152"/>
      <c r="L1356" s="164">
        <v>1</v>
      </c>
      <c r="M1356" s="164">
        <v>21.6</v>
      </c>
      <c r="N1356" s="301">
        <f>ROUND(L1356*M1356,2)</f>
        <v>21.6</v>
      </c>
    </row>
    <row r="1357" spans="2:14" ht="20.100000000000001" customHeight="1">
      <c r="B1357" s="260" t="s">
        <v>248</v>
      </c>
      <c r="D1357" s="52" t="str">
        <f>IF(B1357=0,0,VLOOKUP(B1357,MO,2,FALSE))</f>
        <v>SERVENTE</v>
      </c>
      <c r="E1357" s="53"/>
      <c r="F1357" s="53"/>
      <c r="G1357" s="53"/>
      <c r="H1357" s="53"/>
      <c r="I1357" s="36"/>
      <c r="J1357" s="54"/>
      <c r="K1357" s="152"/>
      <c r="L1357" s="164">
        <v>3</v>
      </c>
      <c r="M1357" s="55">
        <f>IF(B1357=0,0,VLOOKUP(B1357,MO,6,FALSE))</f>
        <v>7.9973000000000001</v>
      </c>
      <c r="N1357" s="301">
        <f>ROUND(L1357*M1357,2)</f>
        <v>23.99</v>
      </c>
    </row>
    <row r="1358" spans="2:14" ht="20.100000000000001" customHeight="1">
      <c r="B1358" s="260"/>
      <c r="D1358" s="52" t="s">
        <v>122</v>
      </c>
      <c r="E1358" s="53"/>
      <c r="F1358" s="53"/>
      <c r="G1358" s="53"/>
      <c r="H1358" s="53"/>
      <c r="I1358" s="36"/>
      <c r="J1358" s="54"/>
      <c r="K1358" s="165">
        <v>0</v>
      </c>
      <c r="L1358" s="166">
        <f>N1356+N1357</f>
        <v>45.59</v>
      </c>
      <c r="M1358" s="164"/>
      <c r="N1358" s="316">
        <f>ROUND(L1358*K1358,2)</f>
        <v>0</v>
      </c>
    </row>
    <row r="1359" spans="2:14" ht="20.100000000000001" customHeight="1">
      <c r="D1359" s="167"/>
      <c r="E1359" s="59"/>
      <c r="F1359" s="168"/>
      <c r="G1359" s="168"/>
      <c r="H1359" s="159"/>
      <c r="I1359" s="236"/>
      <c r="J1359" s="169"/>
      <c r="K1359" s="162"/>
      <c r="L1359" s="163"/>
      <c r="M1359" s="62" t="s">
        <v>98</v>
      </c>
      <c r="N1359" s="302">
        <f>SUM(N1356:N1358)</f>
        <v>45.59</v>
      </c>
    </row>
    <row r="1360" spans="2:14" ht="3.95" customHeight="1">
      <c r="D1360" s="158"/>
      <c r="E1360" s="159"/>
      <c r="F1360" s="159"/>
      <c r="G1360" s="159"/>
      <c r="H1360" s="159"/>
      <c r="I1360" s="236"/>
      <c r="J1360" s="169"/>
      <c r="K1360" s="162"/>
      <c r="L1360" s="163"/>
      <c r="M1360" s="163"/>
      <c r="N1360" s="300"/>
    </row>
    <row r="1361" spans="2:14" ht="20.100000000000001" customHeight="1">
      <c r="D1361" s="170"/>
      <c r="E1361" s="168"/>
      <c r="F1361" s="168"/>
      <c r="G1361" s="168"/>
      <c r="H1361" s="171"/>
      <c r="I1361" s="237"/>
      <c r="J1361" s="171"/>
      <c r="K1361" s="509" t="s">
        <v>99</v>
      </c>
      <c r="L1361" s="510"/>
      <c r="M1361" s="511"/>
      <c r="N1361" s="303">
        <f>+N1353+N1359</f>
        <v>1275.3699999999999</v>
      </c>
    </row>
    <row r="1362" spans="2:14" ht="3.95" customHeight="1">
      <c r="D1362" s="172"/>
      <c r="E1362" s="159"/>
      <c r="F1362" s="159"/>
      <c r="G1362" s="160"/>
      <c r="H1362" s="159"/>
      <c r="I1362" s="236"/>
      <c r="J1362" s="161"/>
      <c r="K1362" s="162"/>
      <c r="L1362" s="163"/>
      <c r="M1362" s="163"/>
      <c r="N1362" s="300"/>
    </row>
    <row r="1363" spans="2:14" ht="20.100000000000001" customHeight="1">
      <c r="D1363" s="167"/>
      <c r="E1363" s="509" t="s">
        <v>100</v>
      </c>
      <c r="F1363" s="510"/>
      <c r="G1363" s="510"/>
      <c r="H1363" s="511"/>
      <c r="I1363" s="238">
        <v>210</v>
      </c>
      <c r="J1363" s="163"/>
      <c r="K1363" s="506" t="s">
        <v>101</v>
      </c>
      <c r="L1363" s="507"/>
      <c r="M1363" s="508"/>
      <c r="N1363" s="304">
        <f>ROUND(N1361/I1363,2)</f>
        <v>6.07</v>
      </c>
    </row>
    <row r="1364" spans="2:14" ht="20.100000000000001" customHeight="1">
      <c r="D1364" s="49" t="s">
        <v>102</v>
      </c>
      <c r="E1364" s="22"/>
      <c r="F1364" s="22"/>
      <c r="G1364" s="22"/>
      <c r="H1364" s="22"/>
      <c r="I1364" s="141"/>
      <c r="J1364" s="23"/>
      <c r="K1364" s="50" t="s">
        <v>103</v>
      </c>
      <c r="L1364" s="51" t="s">
        <v>80</v>
      </c>
      <c r="M1364" s="51" t="s">
        <v>104</v>
      </c>
      <c r="N1364" s="272" t="s">
        <v>105</v>
      </c>
    </row>
    <row r="1365" spans="2:14" ht="20.100000000000001" customHeight="1">
      <c r="B1365" s="260" t="s">
        <v>509</v>
      </c>
      <c r="D1365" s="52" t="str">
        <f>IF(B1365=0,0,VLOOKUP(B1365,MAT,3,FALSE))</f>
        <v>USINAGEM DE SOLO-CIMENTO</v>
      </c>
      <c r="E1365" s="53"/>
      <c r="F1365" s="53"/>
      <c r="G1365" s="53"/>
      <c r="H1365" s="53"/>
      <c r="I1365" s="36"/>
      <c r="J1365" s="54"/>
      <c r="K1365" s="66" t="str">
        <f>IF(B1365=0,0,VLOOKUP(B1365,MAT,5,FALSE))</f>
        <v>M3</v>
      </c>
      <c r="L1365" s="55">
        <f>IF(B1365=0,0,VLOOKUP(B1365,MAT,6,FALSE))</f>
        <v>61.720000000000006</v>
      </c>
      <c r="M1365" s="433">
        <v>1</v>
      </c>
      <c r="N1365" s="301">
        <f>ROUND(L1365*M1365,2)</f>
        <v>61.72</v>
      </c>
    </row>
    <row r="1366" spans="2:14" ht="20.100000000000001" customHeight="1">
      <c r="B1366" s="260"/>
      <c r="D1366" s="52"/>
      <c r="E1366" s="53"/>
      <c r="F1366" s="53"/>
      <c r="G1366" s="53"/>
      <c r="H1366" s="53"/>
      <c r="I1366" s="36"/>
      <c r="J1366" s="54"/>
      <c r="K1366" s="66"/>
      <c r="L1366" s="211"/>
      <c r="M1366" s="174"/>
      <c r="N1366" s="316">
        <f>ROUND(L1366*M1366,2)</f>
        <v>0</v>
      </c>
    </row>
    <row r="1367" spans="2:14" ht="20.100000000000001" customHeight="1">
      <c r="B1367" s="260"/>
      <c r="D1367" s="52"/>
      <c r="E1367" s="53"/>
      <c r="F1367" s="53"/>
      <c r="G1367" s="53"/>
      <c r="H1367" s="53"/>
      <c r="I1367" s="36"/>
      <c r="J1367" s="54"/>
      <c r="K1367" s="66"/>
      <c r="L1367" s="67"/>
      <c r="M1367" s="174"/>
      <c r="N1367" s="316">
        <f>ROUND(L1367*M1367,2)</f>
        <v>0</v>
      </c>
    </row>
    <row r="1368" spans="2:14" ht="20.100000000000001" customHeight="1">
      <c r="D1368" s="158"/>
      <c r="E1368" s="159"/>
      <c r="F1368" s="159"/>
      <c r="G1368" s="173"/>
      <c r="H1368" s="159"/>
      <c r="I1368" s="163"/>
      <c r="J1368" s="161"/>
      <c r="K1368" s="161"/>
      <c r="L1368" s="163"/>
      <c r="M1368" s="71" t="s">
        <v>106</v>
      </c>
      <c r="N1368" s="302">
        <f>SUM(N1365:N1367)</f>
        <v>61.72</v>
      </c>
    </row>
    <row r="1369" spans="2:14" ht="20.100000000000001" customHeight="1">
      <c r="D1369" s="158"/>
      <c r="E1369" s="159"/>
      <c r="F1369" s="159"/>
      <c r="G1369" s="173"/>
      <c r="H1369" s="159"/>
      <c r="I1369" s="163"/>
      <c r="J1369" s="161"/>
      <c r="K1369" s="161"/>
      <c r="L1369" s="163"/>
      <c r="M1369" s="161"/>
      <c r="N1369" s="305"/>
    </row>
    <row r="1370" spans="2:14" ht="20.100000000000001" customHeight="1">
      <c r="D1370" s="527" t="s">
        <v>107</v>
      </c>
      <c r="E1370" s="72" t="s">
        <v>2</v>
      </c>
      <c r="F1370" s="73"/>
      <c r="G1370" s="73"/>
      <c r="H1370" s="74"/>
      <c r="I1370" s="498" t="s">
        <v>108</v>
      </c>
      <c r="J1370" s="499"/>
      <c r="K1370" s="531" t="s">
        <v>103</v>
      </c>
      <c r="L1370" s="514" t="s">
        <v>80</v>
      </c>
      <c r="M1370" s="531" t="s">
        <v>109</v>
      </c>
      <c r="N1370" s="529" t="s">
        <v>105</v>
      </c>
    </row>
    <row r="1371" spans="2:14" ht="20.100000000000001" customHeight="1">
      <c r="D1371" s="528"/>
      <c r="E1371" s="512" t="s">
        <v>110</v>
      </c>
      <c r="F1371" s="513"/>
      <c r="G1371" s="512" t="s">
        <v>111</v>
      </c>
      <c r="H1371" s="513"/>
      <c r="I1371" s="500"/>
      <c r="J1371" s="501"/>
      <c r="K1371" s="532"/>
      <c r="L1371" s="515"/>
      <c r="M1371" s="532"/>
      <c r="N1371" s="530"/>
    </row>
    <row r="1372" spans="2:14" ht="21" customHeight="1">
      <c r="B1372" s="260" t="s">
        <v>332</v>
      </c>
      <c r="D1372" s="268" t="str">
        <f>IF(B1372=0,0,VLOOKUP(B1372,TRANS,3,FALSE))</f>
        <v>CIMENTO PORTLAND CP-32</v>
      </c>
      <c r="E1372" s="504">
        <f>IF(B1372=0,0,VLOOKUP(B1372,TRANS,5,FALSE))</f>
        <v>0.24</v>
      </c>
      <c r="F1372" s="505"/>
      <c r="G1372" s="502"/>
      <c r="H1372" s="503"/>
      <c r="I1372" s="496">
        <f>IF(B1372=0,0,VLOOKUP(B1372,TRANS,6,FALSE))</f>
        <v>50</v>
      </c>
      <c r="J1372" s="497"/>
      <c r="K1372" s="262" t="str">
        <f>IF(B1372=0,0,VLOOKUP(B1372,TRANS,4,FALSE))</f>
        <v>T.KM</v>
      </c>
      <c r="L1372" s="55">
        <f>E1372*I1372</f>
        <v>12</v>
      </c>
      <c r="M1372" s="432">
        <v>0.126</v>
      </c>
      <c r="N1372" s="278">
        <f>ROUND(L1372*M1372,2)</f>
        <v>1.51</v>
      </c>
    </row>
    <row r="1373" spans="2:14" ht="17.25" customHeight="1">
      <c r="B1373" s="260" t="s">
        <v>333</v>
      </c>
      <c r="D1373" s="268" t="str">
        <f>IF(B1373=0,0,VLOOKUP(B1373,TRANS,3,FALSE))</f>
        <v>MATERIAL DE JAZIDA</v>
      </c>
      <c r="E1373" s="504">
        <f>IF(B1373=0,0,VLOOKUP(B1373,TRANS,5,FALSE))</f>
        <v>0.44</v>
      </c>
      <c r="F1373" s="505"/>
      <c r="G1373" s="502"/>
      <c r="H1373" s="503"/>
      <c r="I1373" s="496">
        <f>IF(B1373=0,0,VLOOKUP(B1373,TRANS,6,FALSE))</f>
        <v>15</v>
      </c>
      <c r="J1373" s="497"/>
      <c r="K1373" s="262" t="str">
        <f>IF(B1373=0,0,VLOOKUP(B1373,TRANS,4,FALSE))</f>
        <v>T.KM</v>
      </c>
      <c r="L1373" s="55">
        <f>E1373*I1373</f>
        <v>6.6</v>
      </c>
      <c r="M1373" s="432">
        <v>1.974</v>
      </c>
      <c r="N1373" s="278">
        <f>ROUND(L1373*M1373,2)</f>
        <v>13.03</v>
      </c>
    </row>
    <row r="1374" spans="2:14" ht="21" customHeight="1">
      <c r="B1374" s="260" t="s">
        <v>345</v>
      </c>
      <c r="D1374" s="268" t="str">
        <f>IF(B1374=0,0,VLOOKUP(B1374,TRANS,3,FALSE))</f>
        <v>USIN. DE SOLO-BRITA / SOLO-CIMENTO</v>
      </c>
      <c r="E1374" s="504">
        <f>IF(B1374=0,0,VLOOKUP(B1374,TRANS,5,FALSE))</f>
        <v>0.35</v>
      </c>
      <c r="F1374" s="505"/>
      <c r="G1374" s="502"/>
      <c r="H1374" s="503"/>
      <c r="I1374" s="496">
        <f>IF(B1374=0,0,VLOOKUP(B1374,TRANS,6,FALSE))</f>
        <v>45.53</v>
      </c>
      <c r="J1374" s="497"/>
      <c r="K1374" s="262" t="str">
        <f>IF(B1374=0,0,VLOOKUP(B1374,TRANS,4,FALSE))</f>
        <v>T.KM</v>
      </c>
      <c r="L1374" s="55">
        <f>E1374*I1374</f>
        <v>15.935499999999999</v>
      </c>
      <c r="M1374" s="432">
        <v>2.1</v>
      </c>
      <c r="N1374" s="278">
        <f>ROUND(L1374*M1374,2)</f>
        <v>33.46</v>
      </c>
    </row>
    <row r="1375" spans="2:14" ht="20.100000000000001" customHeight="1">
      <c r="D1375" s="175"/>
      <c r="E1375" s="176"/>
      <c r="F1375" s="159"/>
      <c r="G1375" s="173"/>
      <c r="H1375" s="159"/>
      <c r="I1375" s="163"/>
      <c r="J1375" s="161"/>
      <c r="K1375" s="161"/>
      <c r="L1375" s="163"/>
      <c r="M1375" s="71" t="s">
        <v>112</v>
      </c>
      <c r="N1375" s="302">
        <f>SUM(N1372:N1374)</f>
        <v>48</v>
      </c>
    </row>
    <row r="1376" spans="2:14" ht="3.95" customHeight="1" thickBot="1">
      <c r="D1376" s="175"/>
      <c r="E1376" s="159"/>
      <c r="F1376" s="173"/>
      <c r="G1376" s="159"/>
      <c r="H1376" s="161"/>
      <c r="I1376" s="163"/>
      <c r="J1376" s="161"/>
      <c r="K1376" s="161"/>
      <c r="L1376" s="163"/>
      <c r="M1376" s="161"/>
      <c r="N1376" s="305"/>
    </row>
    <row r="1377" spans="2:14" ht="20.100000000000001" customHeight="1">
      <c r="D1377" s="177"/>
      <c r="E1377" s="178"/>
      <c r="F1377" s="178"/>
      <c r="G1377" s="178"/>
      <c r="H1377" s="179"/>
      <c r="I1377" s="239"/>
      <c r="J1377" s="127" t="s">
        <v>114</v>
      </c>
      <c r="K1377" s="128"/>
      <c r="L1377" s="306"/>
      <c r="M1377" s="129">
        <v>0.02</v>
      </c>
      <c r="N1377" s="307">
        <f>(+N1363+N1368+N1375)*M1377</f>
        <v>2.3157999999999999</v>
      </c>
    </row>
    <row r="1378" spans="2:14" ht="20.100000000000001" customHeight="1" thickBot="1">
      <c r="D1378" s="180"/>
      <c r="E1378" s="181"/>
      <c r="F1378" s="181"/>
      <c r="G1378" s="181"/>
      <c r="H1378" s="181"/>
      <c r="I1378" s="240"/>
      <c r="J1378" s="537" t="s">
        <v>149</v>
      </c>
      <c r="K1378" s="538"/>
      <c r="L1378" s="538"/>
      <c r="M1378" s="538"/>
      <c r="N1378" s="308">
        <f>+N1363+N1368+N1375+N1377</f>
        <v>118.10579999999999</v>
      </c>
    </row>
    <row r="1379" spans="2:14" ht="20.100000000000001" customHeight="1" thickBot="1">
      <c r="D1379" s="182"/>
      <c r="E1379" s="183"/>
      <c r="F1379" s="183"/>
      <c r="G1379" s="183"/>
      <c r="H1379" s="183"/>
      <c r="I1379" s="241"/>
      <c r="J1379" s="184" t="s">
        <v>158</v>
      </c>
      <c r="K1379" s="185"/>
      <c r="L1379" s="309"/>
      <c r="M1379" s="186">
        <f>DI</f>
        <v>0.26700000000000002</v>
      </c>
      <c r="N1379" s="310">
        <f>(M1379*N1378)+N1378</f>
        <v>149.6400486</v>
      </c>
    </row>
    <row r="1380" spans="2:14" ht="20.100000000000001" customHeight="1">
      <c r="D1380" s="161"/>
      <c r="E1380" s="161"/>
      <c r="F1380" s="161"/>
      <c r="G1380" s="161"/>
      <c r="H1380" s="161"/>
      <c r="I1380" s="163"/>
      <c r="J1380" s="154"/>
      <c r="K1380" s="168"/>
      <c r="L1380" s="313"/>
      <c r="M1380" s="314"/>
      <c r="N1380" s="315"/>
    </row>
    <row r="1381" spans="2:14" ht="20.100000000000001" customHeight="1">
      <c r="D1381" s="161"/>
      <c r="E1381" s="161"/>
      <c r="F1381" s="161"/>
      <c r="G1381" s="161"/>
      <c r="H1381" s="161"/>
      <c r="I1381" s="163"/>
      <c r="J1381" s="154"/>
      <c r="K1381" s="168"/>
      <c r="L1381" s="313"/>
      <c r="M1381" s="314"/>
      <c r="N1381" s="315"/>
    </row>
    <row r="1382" spans="2:14" ht="20.100000000000001" customHeight="1" thickBot="1">
      <c r="D1382" s="161"/>
      <c r="E1382" s="161"/>
      <c r="F1382" s="161"/>
      <c r="G1382" s="161"/>
      <c r="H1382" s="161"/>
      <c r="I1382" s="163"/>
      <c r="J1382" s="154"/>
      <c r="K1382" s="168"/>
      <c r="L1382" s="313"/>
      <c r="M1382" s="314"/>
      <c r="N1382" s="315"/>
    </row>
    <row r="1383" spans="2:14" ht="20.100000000000001" customHeight="1">
      <c r="B1383" s="197" t="s">
        <v>210</v>
      </c>
      <c r="D1383" s="520"/>
      <c r="E1383" s="521"/>
      <c r="F1383" s="524" t="s">
        <v>74</v>
      </c>
      <c r="G1383" s="525"/>
      <c r="H1383" s="525"/>
      <c r="I1383" s="525"/>
      <c r="J1383" s="525"/>
      <c r="K1383" s="525"/>
      <c r="L1383" s="526"/>
      <c r="M1383" s="19" t="s">
        <v>75</v>
      </c>
      <c r="N1383" s="20" t="s">
        <v>76</v>
      </c>
    </row>
    <row r="1384" spans="2:14" ht="20.100000000000001" customHeight="1">
      <c r="D1384" s="522"/>
      <c r="E1384" s="523"/>
      <c r="F1384" s="512" t="str">
        <f>VLOOKUP(B1383,Resumo_Composições,3,FALSE)</f>
        <v>EXECUÇÃO DE SUB-BASE COM BRITA GRADUADA TRATADA COM CIMENTO - BGTC</v>
      </c>
      <c r="G1384" s="519"/>
      <c r="H1384" s="519"/>
      <c r="I1384" s="519"/>
      <c r="J1384" s="519"/>
      <c r="K1384" s="519"/>
      <c r="L1384" s="513"/>
      <c r="M1384" s="24" t="str">
        <f>VLOOKUP(B1383,Resumo_Composições,4,FALSE)</f>
        <v>M3</v>
      </c>
      <c r="N1384" s="25">
        <f>DATA</f>
        <v>41214</v>
      </c>
    </row>
    <row r="1385" spans="2:14" ht="20.100000000000001" customHeight="1">
      <c r="D1385" s="26" t="s">
        <v>77</v>
      </c>
      <c r="E1385" s="27"/>
      <c r="F1385" s="27"/>
      <c r="G1385" s="27"/>
      <c r="H1385" s="28"/>
      <c r="I1385" s="214" t="s">
        <v>78</v>
      </c>
      <c r="J1385" s="509" t="s">
        <v>79</v>
      </c>
      <c r="K1385" s="511"/>
      <c r="L1385" s="535" t="s">
        <v>80</v>
      </c>
      <c r="M1385" s="536"/>
      <c r="N1385" s="516" t="s">
        <v>81</v>
      </c>
    </row>
    <row r="1386" spans="2:14" ht="20.100000000000001" customHeight="1">
      <c r="D1386" s="31"/>
      <c r="E1386" s="32"/>
      <c r="F1386" s="32"/>
      <c r="G1386" s="32"/>
      <c r="H1386" s="33"/>
      <c r="I1386" s="34"/>
      <c r="J1386" s="51" t="s">
        <v>82</v>
      </c>
      <c r="K1386" s="51" t="s">
        <v>83</v>
      </c>
      <c r="L1386" s="51" t="s">
        <v>82</v>
      </c>
      <c r="M1386" s="51" t="s">
        <v>84</v>
      </c>
      <c r="N1386" s="517"/>
    </row>
    <row r="1387" spans="2:14" ht="20.100000000000001" customHeight="1">
      <c r="B1387" s="260"/>
      <c r="D1387" s="264">
        <f>IF(B1387=0,0,VLOOKUP(B1387,EQUIP,3,FALSE))</f>
        <v>0</v>
      </c>
      <c r="E1387" s="91"/>
      <c r="F1387" s="91"/>
      <c r="G1387" s="91"/>
      <c r="H1387" s="92"/>
      <c r="I1387" s="215"/>
      <c r="J1387" s="38"/>
      <c r="K1387" s="38"/>
      <c r="L1387" s="318">
        <f>IF(B1387=0,0,VLOOKUP(B1387,EQUIP,6,FALSE))</f>
        <v>0</v>
      </c>
      <c r="M1387" s="318">
        <f>IF(B1387=0,0,VLOOKUP(B1387,EQUIP,7,FALSE))</f>
        <v>0</v>
      </c>
      <c r="N1387" s="319">
        <f>ROUND(J1387*L1387+K1387*M1387,2)</f>
        <v>0</v>
      </c>
    </row>
    <row r="1388" spans="2:14" ht="20.100000000000001" customHeight="1">
      <c r="B1388" s="260"/>
      <c r="D1388" s="264">
        <f>IF(B1388=0,0,VLOOKUP(B1388,EQUIP,3,FALSE))</f>
        <v>0</v>
      </c>
      <c r="E1388" s="36"/>
      <c r="F1388" s="36"/>
      <c r="G1388" s="36"/>
      <c r="H1388" s="37"/>
      <c r="I1388" s="215"/>
      <c r="J1388" s="39"/>
      <c r="K1388" s="38"/>
      <c r="L1388" s="318">
        <f>IF(B1388=0,0,VLOOKUP(B1388,EQUIP,6,FALSE))</f>
        <v>0</v>
      </c>
      <c r="M1388" s="318">
        <f>IF(B1388=0,0,VLOOKUP(B1388,EQUIP,7,FALSE))</f>
        <v>0</v>
      </c>
      <c r="N1388" s="319">
        <f>ROUND(J1388*L1388+K1388*M1388,2)</f>
        <v>0</v>
      </c>
    </row>
    <row r="1389" spans="2:14" ht="20.100000000000001" customHeight="1">
      <c r="B1389" s="260"/>
      <c r="D1389" s="264">
        <f>IF(B1389=0,0,VLOOKUP(B1389,EQUIP,3,FALSE))</f>
        <v>0</v>
      </c>
      <c r="E1389" s="91"/>
      <c r="F1389" s="91"/>
      <c r="G1389" s="91"/>
      <c r="H1389" s="92"/>
      <c r="I1389" s="215"/>
      <c r="J1389" s="38"/>
      <c r="K1389" s="38"/>
      <c r="L1389" s="318">
        <f>IF(B1389=0,0,VLOOKUP(B1389,EQUIP,6,FALSE))</f>
        <v>0</v>
      </c>
      <c r="M1389" s="318">
        <f>IF(B1389=0,0,VLOOKUP(B1389,EQUIP,7,FALSE))</f>
        <v>0</v>
      </c>
      <c r="N1389" s="319">
        <f>ROUND(J1389*L1389+K1389*M1389,2)</f>
        <v>0</v>
      </c>
    </row>
    <row r="1390" spans="2:14" ht="20.100000000000001" customHeight="1">
      <c r="B1390" s="260"/>
      <c r="D1390" s="264">
        <f>IF(B1390=0,0,VLOOKUP(B1390,EQUIP,3,FALSE))</f>
        <v>0</v>
      </c>
      <c r="E1390" s="36"/>
      <c r="F1390" s="36"/>
      <c r="G1390" s="36"/>
      <c r="H1390" s="37"/>
      <c r="I1390" s="55"/>
      <c r="J1390" s="38"/>
      <c r="K1390" s="38"/>
      <c r="L1390" s="318">
        <f>IF(B1390=0,0,VLOOKUP(B1390,EQUIP,6,FALSE))</f>
        <v>0</v>
      </c>
      <c r="M1390" s="318">
        <f>IF(B1390=0,0,VLOOKUP(B1390,EQUIP,7,FALSE))</f>
        <v>0</v>
      </c>
      <c r="N1390" s="319">
        <f>ROUND(J1390*L1390+K1390*M1390,2)</f>
        <v>0</v>
      </c>
    </row>
    <row r="1391" spans="2:14" ht="20.100000000000001" customHeight="1">
      <c r="B1391" s="260"/>
      <c r="D1391" s="264">
        <f>IF(B1391=0,0,VLOOKUP(B1391,EQUIP,3,FALSE))</f>
        <v>0</v>
      </c>
      <c r="E1391" s="36"/>
      <c r="F1391" s="36"/>
      <c r="G1391" s="36"/>
      <c r="H1391" s="37"/>
      <c r="I1391" s="215"/>
      <c r="J1391" s="38"/>
      <c r="K1391" s="38"/>
      <c r="L1391" s="318">
        <f>IF(B1391=0,0,VLOOKUP(B1391,EQUIP,6,FALSE))</f>
        <v>0</v>
      </c>
      <c r="M1391" s="318">
        <f>IF(B1391=0,0,VLOOKUP(B1391,EQUIP,7,FALSE))</f>
        <v>0</v>
      </c>
      <c r="N1391" s="319">
        <f>ROUND(J1391*L1391+K1391*M1391,2)</f>
        <v>0</v>
      </c>
    </row>
    <row r="1392" spans="2:14" ht="20.100000000000001" customHeight="1">
      <c r="D1392" s="155"/>
      <c r="E1392" s="156"/>
      <c r="F1392" s="156"/>
      <c r="G1392" s="156"/>
      <c r="H1392" s="156"/>
      <c r="I1392" s="235"/>
      <c r="J1392" s="157"/>
      <c r="K1392" s="157"/>
      <c r="L1392" s="216"/>
      <c r="M1392" s="42" t="s">
        <v>89</v>
      </c>
      <c r="N1392" s="441">
        <f>SUM(N1387:N1391)</f>
        <v>0</v>
      </c>
    </row>
    <row r="1393" spans="2:14" ht="3.95" customHeight="1">
      <c r="D1393" s="158"/>
      <c r="E1393" s="159"/>
      <c r="F1393" s="159"/>
      <c r="G1393" s="160"/>
      <c r="H1393" s="159"/>
      <c r="I1393" s="236"/>
      <c r="J1393" s="161"/>
      <c r="K1393" s="162"/>
      <c r="L1393" s="163"/>
      <c r="M1393" s="163"/>
      <c r="N1393" s="300"/>
    </row>
    <row r="1394" spans="2:14" ht="20.100000000000001" customHeight="1">
      <c r="D1394" s="518" t="s">
        <v>90</v>
      </c>
      <c r="E1394" s="519"/>
      <c r="F1394" s="519"/>
      <c r="G1394" s="519"/>
      <c r="H1394" s="519"/>
      <c r="I1394" s="519"/>
      <c r="J1394" s="513"/>
      <c r="K1394" s="50" t="s">
        <v>91</v>
      </c>
      <c r="L1394" s="51" t="s">
        <v>92</v>
      </c>
      <c r="M1394" s="51" t="s">
        <v>93</v>
      </c>
      <c r="N1394" s="272" t="s">
        <v>94</v>
      </c>
    </row>
    <row r="1395" spans="2:14" ht="20.100000000000001" customHeight="1">
      <c r="B1395" s="260"/>
      <c r="D1395" s="264">
        <f>IF(B1395=0,0,VLOOKUP(B1395,MO,2,FALSE))</f>
        <v>0</v>
      </c>
      <c r="E1395" s="53"/>
      <c r="F1395" s="53"/>
      <c r="G1395" s="53"/>
      <c r="H1395" s="53"/>
      <c r="I1395" s="36"/>
      <c r="J1395" s="54"/>
      <c r="K1395" s="152"/>
      <c r="L1395" s="164"/>
      <c r="M1395" s="263">
        <f>IF(B1395=0,0,VLOOKUP(B1395,MO,6,FALSE))</f>
        <v>0</v>
      </c>
      <c r="N1395" s="316">
        <f>ROUND(L1395*M1395,2)</f>
        <v>0</v>
      </c>
    </row>
    <row r="1396" spans="2:14" ht="20.100000000000001" customHeight="1">
      <c r="B1396" s="260"/>
      <c r="D1396" s="264">
        <f>IF(B1396=0,0,VLOOKUP(B1396,MO,2,FALSE))</f>
        <v>0</v>
      </c>
      <c r="E1396" s="53"/>
      <c r="F1396" s="53"/>
      <c r="G1396" s="53"/>
      <c r="H1396" s="53"/>
      <c r="I1396" s="36"/>
      <c r="J1396" s="54"/>
      <c r="K1396" s="152"/>
      <c r="L1396" s="164"/>
      <c r="M1396" s="263">
        <f>IF(B1396=0,0,VLOOKUP(B1396,MO,6,FALSE))</f>
        <v>0</v>
      </c>
      <c r="N1396" s="316">
        <f>ROUND(L1396*M1396,2)</f>
        <v>0</v>
      </c>
    </row>
    <row r="1397" spans="2:14" ht="20.100000000000001" customHeight="1">
      <c r="B1397" s="260"/>
      <c r="D1397" s="52" t="s">
        <v>122</v>
      </c>
      <c r="E1397" s="53"/>
      <c r="F1397" s="53"/>
      <c r="G1397" s="53"/>
      <c r="H1397" s="53"/>
      <c r="I1397" s="36"/>
      <c r="J1397" s="54"/>
      <c r="K1397" s="165">
        <v>0</v>
      </c>
      <c r="L1397" s="263">
        <f>N1395+N1396</f>
        <v>0</v>
      </c>
      <c r="M1397" s="164"/>
      <c r="N1397" s="316">
        <f>ROUND(L1397*K1397,2)</f>
        <v>0</v>
      </c>
    </row>
    <row r="1398" spans="2:14" ht="20.100000000000001" customHeight="1">
      <c r="D1398" s="167"/>
      <c r="E1398" s="59"/>
      <c r="F1398" s="168"/>
      <c r="G1398" s="168"/>
      <c r="H1398" s="159"/>
      <c r="I1398" s="236"/>
      <c r="J1398" s="169"/>
      <c r="K1398" s="162"/>
      <c r="L1398" s="163"/>
      <c r="M1398" s="62" t="s">
        <v>98</v>
      </c>
      <c r="N1398" s="437">
        <f>SUM(N1395:N1397)</f>
        <v>0</v>
      </c>
    </row>
    <row r="1399" spans="2:14" ht="3.95" customHeight="1">
      <c r="D1399" s="158"/>
      <c r="E1399" s="159"/>
      <c r="F1399" s="159"/>
      <c r="G1399" s="159"/>
      <c r="H1399" s="159"/>
      <c r="I1399" s="236"/>
      <c r="J1399" s="169"/>
      <c r="K1399" s="162"/>
      <c r="L1399" s="163"/>
      <c r="M1399" s="163"/>
      <c r="N1399" s="300"/>
    </row>
    <row r="1400" spans="2:14" ht="20.100000000000001" customHeight="1">
      <c r="D1400" s="170"/>
      <c r="E1400" s="168"/>
      <c r="F1400" s="168"/>
      <c r="G1400" s="168"/>
      <c r="H1400" s="171"/>
      <c r="I1400" s="237"/>
      <c r="J1400" s="171"/>
      <c r="K1400" s="509" t="s">
        <v>99</v>
      </c>
      <c r="L1400" s="510"/>
      <c r="M1400" s="511"/>
      <c r="N1400" s="439">
        <f>+N1392+N1398</f>
        <v>0</v>
      </c>
    </row>
    <row r="1401" spans="2:14" ht="3.95" customHeight="1">
      <c r="D1401" s="172"/>
      <c r="E1401" s="159"/>
      <c r="F1401" s="159"/>
      <c r="G1401" s="160"/>
      <c r="H1401" s="159"/>
      <c r="I1401" s="236"/>
      <c r="J1401" s="161"/>
      <c r="K1401" s="162"/>
      <c r="L1401" s="163"/>
      <c r="M1401" s="163"/>
      <c r="N1401" s="300"/>
    </row>
    <row r="1402" spans="2:14" ht="20.100000000000001" customHeight="1">
      <c r="D1402" s="167"/>
      <c r="E1402" s="509" t="s">
        <v>100</v>
      </c>
      <c r="F1402" s="510"/>
      <c r="G1402" s="510"/>
      <c r="H1402" s="511"/>
      <c r="I1402" s="238">
        <v>1</v>
      </c>
      <c r="J1402" s="163"/>
      <c r="K1402" s="506" t="s">
        <v>101</v>
      </c>
      <c r="L1402" s="507"/>
      <c r="M1402" s="508"/>
      <c r="N1402" s="440">
        <f>ROUND(N1400/I1402,2)</f>
        <v>0</v>
      </c>
    </row>
    <row r="1403" spans="2:14" ht="3.95" customHeight="1">
      <c r="D1403" s="158"/>
      <c r="E1403" s="159"/>
      <c r="F1403" s="159"/>
      <c r="G1403" s="173"/>
      <c r="H1403" s="159"/>
      <c r="I1403" s="163"/>
      <c r="J1403" s="161"/>
      <c r="K1403" s="161"/>
      <c r="L1403" s="163"/>
      <c r="M1403" s="161"/>
      <c r="N1403" s="305"/>
    </row>
    <row r="1404" spans="2:14" ht="20.100000000000001" customHeight="1">
      <c r="D1404" s="49" t="s">
        <v>102</v>
      </c>
      <c r="E1404" s="22"/>
      <c r="F1404" s="22"/>
      <c r="G1404" s="22"/>
      <c r="H1404" s="22"/>
      <c r="I1404" s="141"/>
      <c r="J1404" s="23"/>
      <c r="K1404" s="50" t="s">
        <v>103</v>
      </c>
      <c r="L1404" s="51" t="s">
        <v>80</v>
      </c>
      <c r="M1404" s="51" t="s">
        <v>104</v>
      </c>
      <c r="N1404" s="272" t="s">
        <v>105</v>
      </c>
    </row>
    <row r="1405" spans="2:14" ht="20.100000000000001" customHeight="1">
      <c r="B1405" s="260" t="s">
        <v>446</v>
      </c>
      <c r="D1405" s="52" t="str">
        <f>IF(B1405=0,0,VLOOKUP(B1405,MAT,3,FALSE))</f>
        <v>BASE DE BRITA GRADUADA</v>
      </c>
      <c r="E1405" s="53"/>
      <c r="F1405" s="53"/>
      <c r="G1405" s="53"/>
      <c r="H1405" s="53"/>
      <c r="I1405" s="36"/>
      <c r="J1405" s="54"/>
      <c r="K1405" s="66" t="str">
        <f>IF(B1405=0,0,VLOOKUP(B1405,MAT,5,FALSE))</f>
        <v>M3</v>
      </c>
      <c r="L1405" s="55">
        <f>IF(B1405=0,0,VLOOKUP(B1405,MAT,6,FALSE))</f>
        <v>52.57</v>
      </c>
      <c r="M1405" s="321">
        <v>0.96</v>
      </c>
      <c r="N1405" s="301">
        <f>ROUND(L1405*M1405,2)</f>
        <v>50.47</v>
      </c>
    </row>
    <row r="1406" spans="2:14" ht="20.100000000000001" customHeight="1">
      <c r="B1406" s="260" t="s">
        <v>445</v>
      </c>
      <c r="D1406" s="52" t="str">
        <f>IF(B1406=0,0,VLOOKUP(B1406,MAT,3,FALSE))</f>
        <v>CIMENTO PORTLAND CP-32</v>
      </c>
      <c r="E1406" s="53"/>
      <c r="F1406" s="53"/>
      <c r="G1406" s="53"/>
      <c r="H1406" s="53"/>
      <c r="I1406" s="36"/>
      <c r="J1406" s="54"/>
      <c r="K1406" s="66" t="str">
        <f>IF(B1406=0,0,VLOOKUP(B1406,MAT,5,FALSE))</f>
        <v>KG</v>
      </c>
      <c r="L1406" s="55">
        <f>IF(B1406=0,0,VLOOKUP(B1406,MAT,6,FALSE))</f>
        <v>0.35620000000000002</v>
      </c>
      <c r="M1406" s="321">
        <v>90</v>
      </c>
      <c r="N1406" s="301">
        <f>ROUND(L1406*M1406,2)</f>
        <v>32.06</v>
      </c>
    </row>
    <row r="1407" spans="2:14" ht="20.100000000000001" customHeight="1">
      <c r="B1407" s="260"/>
      <c r="D1407" s="52"/>
      <c r="E1407" s="53"/>
      <c r="F1407" s="53"/>
      <c r="G1407" s="53"/>
      <c r="H1407" s="53"/>
      <c r="I1407" s="36"/>
      <c r="J1407" s="54"/>
      <c r="K1407" s="66"/>
      <c r="L1407" s="67"/>
      <c r="M1407" s="174"/>
      <c r="N1407" s="316">
        <f>ROUND(L1407*M1407,2)</f>
        <v>0</v>
      </c>
    </row>
    <row r="1408" spans="2:14" ht="20.100000000000001" customHeight="1">
      <c r="D1408" s="158"/>
      <c r="E1408" s="159"/>
      <c r="F1408" s="159"/>
      <c r="G1408" s="173"/>
      <c r="H1408" s="159"/>
      <c r="I1408" s="163"/>
      <c r="J1408" s="161"/>
      <c r="K1408" s="161"/>
      <c r="L1408" s="163"/>
      <c r="M1408" s="71" t="s">
        <v>106</v>
      </c>
      <c r="N1408" s="302">
        <f>SUM(N1405:N1407)</f>
        <v>82.53</v>
      </c>
    </row>
    <row r="1409" spans="2:15" ht="20.100000000000001" customHeight="1">
      <c r="D1409" s="158"/>
      <c r="E1409" s="159"/>
      <c r="F1409" s="159"/>
      <c r="G1409" s="173"/>
      <c r="H1409" s="159"/>
      <c r="I1409" s="163"/>
      <c r="J1409" s="161"/>
      <c r="K1409" s="161"/>
      <c r="L1409" s="163"/>
      <c r="M1409" s="161"/>
      <c r="N1409" s="305"/>
    </row>
    <row r="1410" spans="2:15" ht="20.100000000000001" customHeight="1">
      <c r="D1410" s="527" t="s">
        <v>107</v>
      </c>
      <c r="E1410" s="72" t="s">
        <v>2</v>
      </c>
      <c r="F1410" s="73"/>
      <c r="G1410" s="73"/>
      <c r="H1410" s="74"/>
      <c r="I1410" s="498" t="s">
        <v>108</v>
      </c>
      <c r="J1410" s="499"/>
      <c r="K1410" s="531" t="s">
        <v>103</v>
      </c>
      <c r="L1410" s="514" t="s">
        <v>80</v>
      </c>
      <c r="M1410" s="531" t="s">
        <v>109</v>
      </c>
      <c r="N1410" s="529" t="s">
        <v>105</v>
      </c>
    </row>
    <row r="1411" spans="2:15" ht="20.100000000000001" customHeight="1">
      <c r="D1411" s="528"/>
      <c r="E1411" s="512" t="s">
        <v>110</v>
      </c>
      <c r="F1411" s="513"/>
      <c r="G1411" s="512" t="s">
        <v>111</v>
      </c>
      <c r="H1411" s="513"/>
      <c r="I1411" s="500"/>
      <c r="J1411" s="501"/>
      <c r="K1411" s="532"/>
      <c r="L1411" s="515"/>
      <c r="M1411" s="532"/>
      <c r="N1411" s="530"/>
    </row>
    <row r="1412" spans="2:15" ht="21" customHeight="1">
      <c r="B1412" s="260" t="s">
        <v>493</v>
      </c>
      <c r="D1412" s="268" t="str">
        <f>IF(B1412=0,0,VLOOKUP(B1412,TRANS,3,FALSE))</f>
        <v>USINAGEM DE BRITA GRAD. (USINA - PISTA)</v>
      </c>
      <c r="E1412" s="504">
        <f>IF(B1412=0,0,VLOOKUP(B1412,TRANS,5,FALSE))</f>
        <v>0.35</v>
      </c>
      <c r="F1412" s="505"/>
      <c r="G1412" s="502"/>
      <c r="H1412" s="503"/>
      <c r="I1412" s="496">
        <f>IF(B1412=0,0,VLOOKUP(B1412,TRANS,6,FALSE))</f>
        <v>45.53</v>
      </c>
      <c r="J1412" s="497"/>
      <c r="K1412" s="262" t="str">
        <f>IF(B1412=0,0,VLOOKUP(B1412,TRANS,4,FALSE))</f>
        <v>T.KM</v>
      </c>
      <c r="L1412" s="55">
        <f>E1412*I1412</f>
        <v>15.935499999999999</v>
      </c>
      <c r="M1412" s="432">
        <v>2.2999999999999998</v>
      </c>
      <c r="N1412" s="278">
        <f>ROUND(L1412*M1412,2)</f>
        <v>36.65</v>
      </c>
    </row>
    <row r="1413" spans="2:15" ht="21" customHeight="1">
      <c r="B1413" s="260" t="s">
        <v>332</v>
      </c>
      <c r="D1413" s="268" t="str">
        <f>IF(B1413=0,0,VLOOKUP(B1413,TRANS,3,FALSE))</f>
        <v>CIMENTO PORTLAND CP-32</v>
      </c>
      <c r="E1413" s="504">
        <f>IF(B1413=0,0,VLOOKUP(B1413,TRANS,5,FALSE))</f>
        <v>0.24</v>
      </c>
      <c r="F1413" s="505"/>
      <c r="G1413" s="502"/>
      <c r="H1413" s="503"/>
      <c r="I1413" s="496">
        <f>IF(B1413=0,0,VLOOKUP(B1413,TRANS,6,FALSE))</f>
        <v>50</v>
      </c>
      <c r="J1413" s="497"/>
      <c r="K1413" s="262" t="str">
        <f>IF(B1413=0,0,VLOOKUP(B1413,TRANS,4,FALSE))</f>
        <v>T.KM</v>
      </c>
      <c r="L1413" s="55">
        <f>E1413*I1413</f>
        <v>12</v>
      </c>
      <c r="M1413" s="432">
        <f>M1406/1000</f>
        <v>0.09</v>
      </c>
      <c r="N1413" s="278">
        <f>ROUND(L1413*M1413,2)</f>
        <v>1.08</v>
      </c>
    </row>
    <row r="1414" spans="2:15" ht="21" customHeight="1">
      <c r="B1414" s="260"/>
      <c r="D1414" s="268"/>
      <c r="E1414" s="504"/>
      <c r="F1414" s="505"/>
      <c r="G1414" s="502"/>
      <c r="H1414" s="503"/>
      <c r="I1414" s="533"/>
      <c r="J1414" s="534"/>
      <c r="K1414" s="66"/>
      <c r="L1414" s="67"/>
      <c r="M1414" s="70"/>
      <c r="N1414" s="317">
        <f>ROUND(L1414*M1414,2)</f>
        <v>0</v>
      </c>
    </row>
    <row r="1415" spans="2:15" ht="20.100000000000001" customHeight="1">
      <c r="D1415" s="175"/>
      <c r="E1415" s="176"/>
      <c r="F1415" s="159"/>
      <c r="G1415" s="173"/>
      <c r="H1415" s="159"/>
      <c r="I1415" s="163"/>
      <c r="J1415" s="161"/>
      <c r="K1415" s="161"/>
      <c r="L1415" s="163"/>
      <c r="M1415" s="71" t="s">
        <v>112</v>
      </c>
      <c r="N1415" s="302">
        <f>SUM(N1412:N1414)</f>
        <v>37.729999999999997</v>
      </c>
    </row>
    <row r="1416" spans="2:15" ht="3.95" customHeight="1" thickBot="1">
      <c r="D1416" s="175"/>
      <c r="E1416" s="159"/>
      <c r="F1416" s="173"/>
      <c r="G1416" s="159"/>
      <c r="H1416" s="161"/>
      <c r="I1416" s="163"/>
      <c r="J1416" s="161"/>
      <c r="K1416" s="161"/>
      <c r="L1416" s="163"/>
      <c r="M1416" s="161"/>
      <c r="N1416" s="305"/>
    </row>
    <row r="1417" spans="2:15" ht="20.100000000000001" customHeight="1">
      <c r="D1417" s="177"/>
      <c r="E1417" s="178"/>
      <c r="F1417" s="178"/>
      <c r="G1417" s="178"/>
      <c r="H1417" s="179"/>
      <c r="I1417" s="239"/>
      <c r="J1417" s="127" t="s">
        <v>114</v>
      </c>
      <c r="K1417" s="128"/>
      <c r="L1417" s="306"/>
      <c r="M1417" s="129">
        <v>0.02</v>
      </c>
      <c r="N1417" s="307">
        <f>(+N1402+N1408+N1415)*M1417</f>
        <v>2.4051999999999998</v>
      </c>
    </row>
    <row r="1418" spans="2:15" ht="20.100000000000001" customHeight="1" thickBot="1">
      <c r="D1418" s="180"/>
      <c r="E1418" s="181"/>
      <c r="F1418" s="181"/>
      <c r="G1418" s="181"/>
      <c r="H1418" s="181"/>
      <c r="I1418" s="240"/>
      <c r="J1418" s="537" t="s">
        <v>149</v>
      </c>
      <c r="K1418" s="538"/>
      <c r="L1418" s="538"/>
      <c r="M1418" s="538"/>
      <c r="N1418" s="308">
        <f>+N1403+N1408+N1415+N1417</f>
        <v>122.66519999999998</v>
      </c>
    </row>
    <row r="1419" spans="2:15" ht="20.100000000000001" customHeight="1" thickBot="1">
      <c r="D1419" s="182"/>
      <c r="E1419" s="183"/>
      <c r="F1419" s="183"/>
      <c r="G1419" s="183"/>
      <c r="H1419" s="183"/>
      <c r="I1419" s="241"/>
      <c r="J1419" s="184" t="s">
        <v>158</v>
      </c>
      <c r="K1419" s="185"/>
      <c r="L1419" s="309"/>
      <c r="M1419" s="186">
        <f>DI</f>
        <v>0.26700000000000002</v>
      </c>
      <c r="N1419" s="310">
        <f>(M1419*N1418)+N1418</f>
        <v>155.41680839999998</v>
      </c>
    </row>
    <row r="1420" spans="2:15" s="192" customFormat="1" ht="19.5" customHeight="1">
      <c r="B1420" s="198"/>
      <c r="C1420" s="198"/>
      <c r="D1420" s="193"/>
      <c r="E1420" s="193"/>
      <c r="F1420" s="193"/>
      <c r="G1420" s="193"/>
      <c r="H1420" s="194"/>
      <c r="I1420" s="242"/>
      <c r="J1420" s="193"/>
      <c r="K1420" s="193"/>
      <c r="L1420" s="242"/>
      <c r="M1420" s="193"/>
      <c r="N1420" s="242"/>
      <c r="O1420" s="390"/>
    </row>
    <row r="1421" spans="2:15" s="192" customFormat="1" ht="19.5" customHeight="1">
      <c r="B1421" s="198"/>
      <c r="C1421" s="198"/>
      <c r="D1421" s="193"/>
      <c r="E1421" s="193"/>
      <c r="F1421" s="193"/>
      <c r="G1421" s="193"/>
      <c r="H1421" s="194"/>
      <c r="I1421" s="242"/>
      <c r="J1421" s="193"/>
      <c r="K1421" s="193"/>
      <c r="L1421" s="242"/>
      <c r="M1421" s="193"/>
      <c r="N1421" s="242"/>
      <c r="O1421" s="390"/>
    </row>
    <row r="1422" spans="2:15" s="192" customFormat="1" ht="19.5" customHeight="1" thickBot="1">
      <c r="B1422" s="198"/>
      <c r="C1422" s="198"/>
      <c r="D1422" s="193"/>
      <c r="E1422" s="193"/>
      <c r="F1422" s="193"/>
      <c r="G1422" s="193"/>
      <c r="H1422" s="194"/>
      <c r="I1422" s="242"/>
      <c r="J1422" s="193"/>
      <c r="K1422" s="193"/>
      <c r="L1422" s="242"/>
      <c r="M1422" s="193"/>
      <c r="N1422" s="242"/>
      <c r="O1422" s="390"/>
    </row>
    <row r="1423" spans="2:15" ht="20.100000000000001" customHeight="1">
      <c r="B1423" s="197" t="s">
        <v>211</v>
      </c>
      <c r="D1423" s="520"/>
      <c r="E1423" s="521"/>
      <c r="F1423" s="524" t="s">
        <v>74</v>
      </c>
      <c r="G1423" s="525"/>
      <c r="H1423" s="525"/>
      <c r="I1423" s="525"/>
      <c r="J1423" s="525"/>
      <c r="K1423" s="525"/>
      <c r="L1423" s="526"/>
      <c r="M1423" s="19" t="s">
        <v>75</v>
      </c>
      <c r="N1423" s="20" t="s">
        <v>76</v>
      </c>
    </row>
    <row r="1424" spans="2:15" ht="20.100000000000001" customHeight="1">
      <c r="D1424" s="522"/>
      <c r="E1424" s="523"/>
      <c r="F1424" s="512" t="str">
        <f>VLOOKUP(B1423,Resumo_Composições,3,FALSE)</f>
        <v>DEMOLIÇÃO DE PAVIMENTO ASFÁLTICO</v>
      </c>
      <c r="G1424" s="519"/>
      <c r="H1424" s="519"/>
      <c r="I1424" s="519"/>
      <c r="J1424" s="519"/>
      <c r="K1424" s="519"/>
      <c r="L1424" s="513"/>
      <c r="M1424" s="24" t="str">
        <f>VLOOKUP(B1423,Resumo_Composições,4,FALSE)</f>
        <v>M2</v>
      </c>
      <c r="N1424" s="25">
        <f>DATA</f>
        <v>41214</v>
      </c>
    </row>
    <row r="1425" spans="2:14" ht="20.100000000000001" customHeight="1">
      <c r="D1425" s="26" t="s">
        <v>77</v>
      </c>
      <c r="E1425" s="27"/>
      <c r="F1425" s="27"/>
      <c r="G1425" s="27"/>
      <c r="H1425" s="28"/>
      <c r="I1425" s="214" t="s">
        <v>78</v>
      </c>
      <c r="J1425" s="509" t="s">
        <v>79</v>
      </c>
      <c r="K1425" s="511"/>
      <c r="L1425" s="535" t="s">
        <v>80</v>
      </c>
      <c r="M1425" s="536"/>
      <c r="N1425" s="516" t="s">
        <v>81</v>
      </c>
    </row>
    <row r="1426" spans="2:14" ht="20.100000000000001" customHeight="1">
      <c r="D1426" s="31"/>
      <c r="E1426" s="32"/>
      <c r="F1426" s="32"/>
      <c r="G1426" s="32"/>
      <c r="H1426" s="33"/>
      <c r="I1426" s="34"/>
      <c r="J1426" s="51" t="s">
        <v>82</v>
      </c>
      <c r="K1426" s="51" t="s">
        <v>83</v>
      </c>
      <c r="L1426" s="51" t="s">
        <v>82</v>
      </c>
      <c r="M1426" s="51" t="s">
        <v>84</v>
      </c>
      <c r="N1426" s="517"/>
    </row>
    <row r="1427" spans="2:14" ht="20.100000000000001" customHeight="1">
      <c r="B1427" s="260" t="s">
        <v>415</v>
      </c>
      <c r="D1427" s="35" t="str">
        <f t="shared" ref="D1427:D1432" si="84">IF(B1427=0,0,VLOOKUP(B1427,EQUIP,3,FALSE))</f>
        <v>TRATOR DE ESTEIRAS - COM LÂMINA (104 KW)</v>
      </c>
      <c r="E1427" s="36"/>
      <c r="F1427" s="36"/>
      <c r="G1427" s="36"/>
      <c r="H1427" s="37"/>
      <c r="I1427" s="215">
        <v>1</v>
      </c>
      <c r="J1427" s="38">
        <v>1</v>
      </c>
      <c r="K1427" s="38">
        <v>0</v>
      </c>
      <c r="L1427" s="215">
        <f t="shared" ref="L1427:L1432" si="85">IF(B1427=0,0,VLOOKUP(B1427,EQUIP,6,FALSE))</f>
        <v>334.66</v>
      </c>
      <c r="M1427" s="38">
        <f t="shared" ref="M1427:M1432" si="86">IF(B1427=0,0,VLOOKUP(B1427,EQUIP,7,FALSE))</f>
        <v>22.39</v>
      </c>
      <c r="N1427" s="269">
        <f t="shared" ref="N1427:N1432" si="87">ROUND(I1427*J1427*L1427+I1427*K1427*M1427,2)</f>
        <v>334.66</v>
      </c>
    </row>
    <row r="1428" spans="2:14" ht="20.100000000000001" customHeight="1">
      <c r="B1428" s="260" t="s">
        <v>272</v>
      </c>
      <c r="D1428" s="35" t="str">
        <f t="shared" si="84"/>
        <v>COMPRESSOR DE AR (59KW)</v>
      </c>
      <c r="E1428" s="36"/>
      <c r="F1428" s="36"/>
      <c r="G1428" s="36"/>
      <c r="H1428" s="37"/>
      <c r="I1428" s="215">
        <v>1</v>
      </c>
      <c r="J1428" s="38">
        <v>0.2</v>
      </c>
      <c r="K1428" s="38">
        <v>0.8</v>
      </c>
      <c r="L1428" s="215">
        <f t="shared" si="85"/>
        <v>50.66</v>
      </c>
      <c r="M1428" s="38">
        <f t="shared" si="86"/>
        <v>17.27</v>
      </c>
      <c r="N1428" s="269">
        <f t="shared" si="87"/>
        <v>23.95</v>
      </c>
    </row>
    <row r="1429" spans="2:14" ht="20.100000000000001" customHeight="1">
      <c r="B1429" s="260" t="s">
        <v>280</v>
      </c>
      <c r="D1429" s="35" t="str">
        <f t="shared" si="84"/>
        <v>MARTELETE - ROMPEDOR 28KG</v>
      </c>
      <c r="E1429" s="36"/>
      <c r="F1429" s="36"/>
      <c r="G1429" s="36"/>
      <c r="H1429" s="37"/>
      <c r="I1429" s="215">
        <v>1</v>
      </c>
      <c r="J1429" s="38">
        <v>0.2</v>
      </c>
      <c r="K1429" s="38">
        <v>0.8</v>
      </c>
      <c r="L1429" s="215">
        <f t="shared" si="85"/>
        <v>16.07</v>
      </c>
      <c r="M1429" s="38">
        <f t="shared" si="86"/>
        <v>13.36</v>
      </c>
      <c r="N1429" s="269">
        <f t="shared" si="87"/>
        <v>13.9</v>
      </c>
    </row>
    <row r="1430" spans="2:14" ht="20.100000000000001" customHeight="1">
      <c r="B1430" s="260" t="s">
        <v>269</v>
      </c>
      <c r="D1430" s="35" t="str">
        <f>IF(B1430=0,0,VLOOKUP(B1430,EQUIP,3,FALSE))</f>
        <v>CARREGADEIRA PNEUS CATERPILLAR</v>
      </c>
      <c r="E1430" s="36"/>
      <c r="F1430" s="36"/>
      <c r="G1430" s="36"/>
      <c r="H1430" s="37"/>
      <c r="I1430" s="215">
        <v>1</v>
      </c>
      <c r="J1430" s="38">
        <v>0.5</v>
      </c>
      <c r="K1430" s="38">
        <v>0.5</v>
      </c>
      <c r="L1430" s="215">
        <f>IF(B1430=0,0,VLOOKUP(B1430,EQUIP,6,FALSE))</f>
        <v>108</v>
      </c>
      <c r="M1430" s="38">
        <f>IF(B1430=0,0,VLOOKUP(B1430,EQUIP,7,FALSE))</f>
        <v>22.39</v>
      </c>
      <c r="N1430" s="269">
        <f>ROUND(I1430*J1430*L1430+I1430*K1430*M1430,2)</f>
        <v>65.2</v>
      </c>
    </row>
    <row r="1431" spans="2:14" ht="20.100000000000001" customHeight="1">
      <c r="B1431" s="260"/>
      <c r="D1431" s="383">
        <f t="shared" si="84"/>
        <v>0</v>
      </c>
      <c r="E1431" s="384"/>
      <c r="F1431" s="384"/>
      <c r="G1431" s="384"/>
      <c r="H1431" s="385"/>
      <c r="I1431" s="403"/>
      <c r="J1431" s="403"/>
      <c r="K1431" s="403"/>
      <c r="L1431" s="403">
        <f t="shared" si="85"/>
        <v>0</v>
      </c>
      <c r="M1431" s="403">
        <f t="shared" si="86"/>
        <v>0</v>
      </c>
      <c r="N1431" s="404">
        <f t="shared" si="87"/>
        <v>0</v>
      </c>
    </row>
    <row r="1432" spans="2:14" ht="20.100000000000001" customHeight="1">
      <c r="B1432" s="260"/>
      <c r="D1432" s="383">
        <f t="shared" si="84"/>
        <v>0</v>
      </c>
      <c r="E1432" s="384"/>
      <c r="F1432" s="384"/>
      <c r="G1432" s="384"/>
      <c r="H1432" s="385"/>
      <c r="I1432" s="403"/>
      <c r="J1432" s="403"/>
      <c r="K1432" s="403"/>
      <c r="L1432" s="403">
        <f t="shared" si="85"/>
        <v>0</v>
      </c>
      <c r="M1432" s="403">
        <f t="shared" si="86"/>
        <v>0</v>
      </c>
      <c r="N1432" s="404">
        <f t="shared" si="87"/>
        <v>0</v>
      </c>
    </row>
    <row r="1433" spans="2:14" ht="20.100000000000001" customHeight="1">
      <c r="D1433" s="40"/>
      <c r="E1433" s="41"/>
      <c r="F1433" s="41"/>
      <c r="G1433" s="41"/>
      <c r="H1433" s="41"/>
      <c r="I1433" s="216"/>
      <c r="J1433" s="41"/>
      <c r="K1433" s="41"/>
      <c r="L1433" s="216"/>
      <c r="M1433" s="42" t="s">
        <v>89</v>
      </c>
      <c r="N1433" s="270">
        <f>SUM(N1427:N1432)</f>
        <v>437.71</v>
      </c>
    </row>
    <row r="1434" spans="2:14" ht="3.95" customHeight="1">
      <c r="D1434" s="43"/>
      <c r="E1434" s="44"/>
      <c r="F1434" s="44"/>
      <c r="G1434" s="45"/>
      <c r="H1434" s="44"/>
      <c r="I1434" s="217"/>
      <c r="J1434" s="46"/>
      <c r="K1434" s="47"/>
      <c r="L1434" s="48"/>
      <c r="M1434" s="48"/>
      <c r="N1434" s="271"/>
    </row>
    <row r="1435" spans="2:14" ht="20.100000000000001" customHeight="1">
      <c r="D1435" s="584" t="s">
        <v>90</v>
      </c>
      <c r="E1435" s="585"/>
      <c r="F1435" s="22"/>
      <c r="G1435" s="22"/>
      <c r="H1435" s="22"/>
      <c r="I1435" s="141"/>
      <c r="J1435" s="23"/>
      <c r="K1435" s="50" t="s">
        <v>91</v>
      </c>
      <c r="L1435" s="51" t="s">
        <v>92</v>
      </c>
      <c r="M1435" s="51" t="s">
        <v>93</v>
      </c>
      <c r="N1435" s="272" t="s">
        <v>94</v>
      </c>
    </row>
    <row r="1436" spans="2:14" ht="20.100000000000001" customHeight="1">
      <c r="B1436" s="260" t="s">
        <v>247</v>
      </c>
      <c r="D1436" s="52" t="str">
        <f>IF(B1436=0,0,VLOOKUP(B1436,MO,2,FALSE))</f>
        <v>ENCARREGADO DE TURMA</v>
      </c>
      <c r="E1436" s="53"/>
      <c r="F1436" s="53"/>
      <c r="G1436" s="53"/>
      <c r="H1436" s="53"/>
      <c r="I1436" s="36"/>
      <c r="J1436" s="54"/>
      <c r="K1436" s="39"/>
      <c r="L1436" s="55">
        <v>1</v>
      </c>
      <c r="M1436" s="55">
        <f>IF(B1436=0,0,VLOOKUP(B1436,MO,6,FALSE))</f>
        <v>27</v>
      </c>
      <c r="N1436" s="273">
        <f>ROUND(L1436*M1436,2)</f>
        <v>27</v>
      </c>
    </row>
    <row r="1437" spans="2:14" ht="20.100000000000001" customHeight="1">
      <c r="B1437" s="260" t="s">
        <v>248</v>
      </c>
      <c r="D1437" s="52" t="str">
        <f>IF(B1437=0,0,VLOOKUP(B1437,MO,2,FALSE))</f>
        <v>SERVENTE</v>
      </c>
      <c r="E1437" s="53"/>
      <c r="F1437" s="53"/>
      <c r="G1437" s="53"/>
      <c r="H1437" s="53"/>
      <c r="I1437" s="36"/>
      <c r="J1437" s="54"/>
      <c r="K1437" s="39"/>
      <c r="L1437" s="55">
        <v>2</v>
      </c>
      <c r="M1437" s="55">
        <f>IF(B1437=0,0,VLOOKUP(B1437,MO,6,FALSE))</f>
        <v>7.9973000000000001</v>
      </c>
      <c r="N1437" s="273">
        <f>ROUND(L1437*M1437,2)</f>
        <v>15.99</v>
      </c>
    </row>
    <row r="1438" spans="2:14" ht="20.100000000000001" customHeight="1">
      <c r="B1438" s="260"/>
      <c r="D1438" s="52" t="s">
        <v>97</v>
      </c>
      <c r="E1438" s="53"/>
      <c r="F1438" s="53"/>
      <c r="G1438" s="53"/>
      <c r="H1438" s="53"/>
      <c r="I1438" s="36"/>
      <c r="J1438" s="54"/>
      <c r="K1438" s="56">
        <v>0.05</v>
      </c>
      <c r="L1438" s="57">
        <f>+N1436+N1437</f>
        <v>42.99</v>
      </c>
      <c r="M1438" s="55"/>
      <c r="N1438" s="274">
        <f>ROUND(K1438*L1438,2)</f>
        <v>2.15</v>
      </c>
    </row>
    <row r="1439" spans="2:14" ht="20.100000000000001" customHeight="1">
      <c r="D1439" s="58"/>
      <c r="E1439" s="59"/>
      <c r="F1439" s="60"/>
      <c r="G1439" s="60"/>
      <c r="H1439" s="44"/>
      <c r="I1439" s="217"/>
      <c r="J1439" s="61"/>
      <c r="K1439" s="47"/>
      <c r="L1439" s="48"/>
      <c r="M1439" s="62" t="s">
        <v>98</v>
      </c>
      <c r="N1439" s="270">
        <f>SUM(N1436:N1438)</f>
        <v>45.14</v>
      </c>
    </row>
    <row r="1440" spans="2:14" ht="3.95" customHeight="1">
      <c r="D1440" s="43"/>
      <c r="E1440" s="44"/>
      <c r="F1440" s="44"/>
      <c r="G1440" s="44"/>
      <c r="H1440" s="44"/>
      <c r="I1440" s="217"/>
      <c r="J1440" s="61"/>
      <c r="K1440" s="47"/>
      <c r="L1440" s="48"/>
      <c r="M1440" s="48"/>
      <c r="N1440" s="271"/>
    </row>
    <row r="1441" spans="2:14" ht="20.100000000000001" customHeight="1">
      <c r="D1441" s="40"/>
      <c r="E1441" s="60"/>
      <c r="F1441" s="60"/>
      <c r="G1441" s="60"/>
      <c r="H1441" s="63"/>
      <c r="I1441" s="218"/>
      <c r="J1441" s="63"/>
      <c r="K1441" s="509" t="s">
        <v>99</v>
      </c>
      <c r="L1441" s="510"/>
      <c r="M1441" s="511"/>
      <c r="N1441" s="275">
        <f>+N1433+N1439</f>
        <v>482.84999999999997</v>
      </c>
    </row>
    <row r="1442" spans="2:14" ht="3.95" customHeight="1">
      <c r="D1442" s="64"/>
      <c r="E1442" s="44"/>
      <c r="F1442" s="44"/>
      <c r="G1442" s="45"/>
      <c r="H1442" s="44"/>
      <c r="I1442" s="217"/>
      <c r="J1442" s="46"/>
      <c r="K1442" s="47"/>
      <c r="L1442" s="48"/>
      <c r="M1442" s="48"/>
      <c r="N1442" s="271"/>
    </row>
    <row r="1443" spans="2:14" ht="20.100000000000001" customHeight="1">
      <c r="D1443" s="58"/>
      <c r="E1443" s="509" t="s">
        <v>100</v>
      </c>
      <c r="F1443" s="510"/>
      <c r="G1443" s="510"/>
      <c r="H1443" s="511"/>
      <c r="I1443" s="219">
        <v>30</v>
      </c>
      <c r="J1443" s="48"/>
      <c r="K1443" s="506" t="s">
        <v>101</v>
      </c>
      <c r="L1443" s="507"/>
      <c r="M1443" s="508"/>
      <c r="N1443" s="299">
        <f>ROUND(N1441/I1443,2)</f>
        <v>16.100000000000001</v>
      </c>
    </row>
    <row r="1444" spans="2:14" ht="3.95" customHeight="1">
      <c r="D1444" s="43"/>
      <c r="E1444" s="44"/>
      <c r="F1444" s="44"/>
      <c r="G1444" s="65"/>
      <c r="H1444" s="44"/>
      <c r="I1444" s="48"/>
      <c r="J1444" s="46"/>
      <c r="K1444" s="46"/>
      <c r="L1444" s="48"/>
      <c r="M1444" s="46"/>
      <c r="N1444" s="277"/>
    </row>
    <row r="1445" spans="2:14" ht="20.100000000000001" customHeight="1">
      <c r="D1445" s="49" t="s">
        <v>102</v>
      </c>
      <c r="E1445" s="22"/>
      <c r="F1445" s="22"/>
      <c r="G1445" s="22"/>
      <c r="H1445" s="22"/>
      <c r="I1445" s="141"/>
      <c r="J1445" s="23"/>
      <c r="K1445" s="50" t="s">
        <v>103</v>
      </c>
      <c r="L1445" s="51" t="s">
        <v>80</v>
      </c>
      <c r="M1445" s="51" t="s">
        <v>104</v>
      </c>
      <c r="N1445" s="272" t="s">
        <v>105</v>
      </c>
    </row>
    <row r="1446" spans="2:14" ht="20.100000000000001" customHeight="1">
      <c r="B1446" s="260"/>
      <c r="D1446" s="334">
        <f>IF(B1446=0,0,VLOOKUP(B1446,MAT,3,FALSE))</f>
        <v>0</v>
      </c>
      <c r="E1446" s="335"/>
      <c r="F1446" s="335"/>
      <c r="G1446" s="335"/>
      <c r="H1446" s="335"/>
      <c r="I1446" s="335"/>
      <c r="J1446" s="336"/>
      <c r="K1446" s="337">
        <f>IF(B1446=0,0,VLOOKUP(B1446,MAT,5,FALSE))</f>
        <v>0</v>
      </c>
      <c r="L1446" s="338">
        <f>IF(B1446=0,0,VLOOKUP(B1446,MAT,6,FALSE))</f>
        <v>0</v>
      </c>
      <c r="M1446" s="338"/>
      <c r="N1446" s="339">
        <f>ROUND(L1446*M1446,2)</f>
        <v>0</v>
      </c>
    </row>
    <row r="1447" spans="2:14" ht="20.100000000000001" customHeight="1">
      <c r="B1447" s="260"/>
      <c r="D1447" s="334">
        <f>IF(B1447=0,0,VLOOKUP(B1447,MAT,3,FALSE))</f>
        <v>0</v>
      </c>
      <c r="E1447" s="335"/>
      <c r="F1447" s="335"/>
      <c r="G1447" s="335"/>
      <c r="H1447" s="335"/>
      <c r="I1447" s="335"/>
      <c r="J1447" s="336"/>
      <c r="K1447" s="337">
        <f>IF(B1447=0,0,VLOOKUP(B1447,MAT,5,FALSE))</f>
        <v>0</v>
      </c>
      <c r="L1447" s="338">
        <f>IF(B1447=0,0,VLOOKUP(B1447,MAT,6,FALSE))</f>
        <v>0</v>
      </c>
      <c r="M1447" s="338"/>
      <c r="N1447" s="339">
        <f>ROUND(L1447*M1447,2)</f>
        <v>0</v>
      </c>
    </row>
    <row r="1448" spans="2:14" ht="20.100000000000001" customHeight="1">
      <c r="B1448" s="260"/>
      <c r="D1448" s="334">
        <f>IF(B1448=0,0,VLOOKUP(B1448,MAT,3,FALSE))</f>
        <v>0</v>
      </c>
      <c r="E1448" s="335"/>
      <c r="F1448" s="335"/>
      <c r="G1448" s="335"/>
      <c r="H1448" s="335"/>
      <c r="I1448" s="335"/>
      <c r="J1448" s="336"/>
      <c r="K1448" s="337">
        <f>IF(B1448=0,0,VLOOKUP(B1448,MAT,5,FALSE))</f>
        <v>0</v>
      </c>
      <c r="L1448" s="338">
        <f>IF(B1448=0,0,VLOOKUP(B1448,MAT,6,FALSE))</f>
        <v>0</v>
      </c>
      <c r="M1448" s="338"/>
      <c r="N1448" s="339">
        <f>ROUND(L1448*M1448,2)</f>
        <v>0</v>
      </c>
    </row>
    <row r="1449" spans="2:14" ht="20.100000000000001" customHeight="1">
      <c r="D1449" s="43"/>
      <c r="E1449" s="44"/>
      <c r="F1449" s="44"/>
      <c r="G1449" s="65"/>
      <c r="H1449" s="44"/>
      <c r="I1449" s="48"/>
      <c r="J1449" s="46"/>
      <c r="K1449" s="46"/>
      <c r="L1449" s="48"/>
      <c r="M1449" s="71" t="s">
        <v>106</v>
      </c>
      <c r="N1449" s="441">
        <f>N1446+N1447+N1448</f>
        <v>0</v>
      </c>
    </row>
    <row r="1450" spans="2:14" ht="3.95" customHeight="1">
      <c r="D1450" s="43"/>
      <c r="E1450" s="44"/>
      <c r="F1450" s="44"/>
      <c r="G1450" s="65"/>
      <c r="H1450" s="44"/>
      <c r="I1450" s="48"/>
      <c r="J1450" s="46"/>
      <c r="K1450" s="46"/>
      <c r="L1450" s="48"/>
      <c r="M1450" s="46"/>
      <c r="N1450" s="277"/>
    </row>
    <row r="1451" spans="2:14" ht="20.100000000000001" customHeight="1">
      <c r="D1451" s="527" t="s">
        <v>107</v>
      </c>
      <c r="E1451" s="72" t="s">
        <v>2</v>
      </c>
      <c r="F1451" s="73"/>
      <c r="G1451" s="73"/>
      <c r="H1451" s="74"/>
      <c r="I1451" s="498" t="s">
        <v>108</v>
      </c>
      <c r="J1451" s="499"/>
      <c r="K1451" s="531" t="s">
        <v>103</v>
      </c>
      <c r="L1451" s="514" t="s">
        <v>80</v>
      </c>
      <c r="M1451" s="531" t="s">
        <v>109</v>
      </c>
      <c r="N1451" s="529" t="s">
        <v>105</v>
      </c>
    </row>
    <row r="1452" spans="2:14" ht="20.100000000000001" customHeight="1">
      <c r="D1452" s="528"/>
      <c r="E1452" s="512" t="s">
        <v>127</v>
      </c>
      <c r="F1452" s="513"/>
      <c r="G1452" s="512" t="s">
        <v>111</v>
      </c>
      <c r="H1452" s="513"/>
      <c r="I1452" s="500"/>
      <c r="J1452" s="501"/>
      <c r="K1452" s="532"/>
      <c r="L1452" s="515"/>
      <c r="M1452" s="532"/>
      <c r="N1452" s="530"/>
    </row>
    <row r="1453" spans="2:14" ht="20.100000000000001" customHeight="1">
      <c r="B1453" s="260" t="s">
        <v>337</v>
      </c>
      <c r="D1453" s="261" t="str">
        <f>IF(B1453=0,0,VLOOKUP(B1453,TRANS,3,FALSE))</f>
        <v>MATERIAL RETIRADO DA PISTA</v>
      </c>
      <c r="E1453" s="504">
        <f>IF(B1453=0,0,VLOOKUP(B1453,TRANS,5,FALSE))</f>
        <v>0.33</v>
      </c>
      <c r="F1453" s="505"/>
      <c r="G1453" s="502"/>
      <c r="H1453" s="503"/>
      <c r="I1453" s="496">
        <f>IF(B1453=0,0,VLOOKUP(B1453,TRANS,6,FALSE))</f>
        <v>20</v>
      </c>
      <c r="J1453" s="497"/>
      <c r="K1453" s="262" t="str">
        <f>IF(B1453=0,0,VLOOKUP(B1453,TRANS,4,FALSE))</f>
        <v>T.KM</v>
      </c>
      <c r="L1453" s="55">
        <f>E1453*I1453</f>
        <v>6.6000000000000005</v>
      </c>
      <c r="M1453" s="433">
        <v>0.24</v>
      </c>
      <c r="N1453" s="273">
        <f>ROUND(L1453*M1453,2)</f>
        <v>1.58</v>
      </c>
    </row>
    <row r="1454" spans="2:14" ht="20.100000000000001" customHeight="1">
      <c r="B1454" s="260"/>
      <c r="D1454" s="340">
        <f>IF(B1454=0,0,VLOOKUP(B1454,TRANS,3,FALSE))</f>
        <v>0</v>
      </c>
      <c r="E1454" s="592">
        <f>IF(B1454=0,0,VLOOKUP(B1454,TRANS,5,FALSE))</f>
        <v>0</v>
      </c>
      <c r="F1454" s="593"/>
      <c r="G1454" s="594"/>
      <c r="H1454" s="595"/>
      <c r="I1454" s="592"/>
      <c r="J1454" s="593"/>
      <c r="K1454" s="337">
        <f>IF(B1454=0,0,VLOOKUP(B1454,TRANS,4,FALSE))</f>
        <v>0</v>
      </c>
      <c r="L1454" s="338">
        <f>E1454*I1454</f>
        <v>0</v>
      </c>
      <c r="M1454" s="338"/>
      <c r="N1454" s="339">
        <f>ROUND(L1454*M1454,2)</f>
        <v>0</v>
      </c>
    </row>
    <row r="1455" spans="2:14" ht="20.100000000000001" customHeight="1">
      <c r="B1455" s="260"/>
      <c r="D1455" s="340">
        <f>IF(B1455=0,0,VLOOKUP(B1455,TRANS,3,FALSE))</f>
        <v>0</v>
      </c>
      <c r="E1455" s="592">
        <f>IF(B1455=0,0,VLOOKUP(B1455,TRANS,5,FALSE))</f>
        <v>0</v>
      </c>
      <c r="F1455" s="593"/>
      <c r="G1455" s="594"/>
      <c r="H1455" s="595"/>
      <c r="I1455" s="592"/>
      <c r="J1455" s="593"/>
      <c r="K1455" s="337">
        <f>IF(B1455=0,0,VLOOKUP(B1455,TRANS,4,FALSE))</f>
        <v>0</v>
      </c>
      <c r="L1455" s="338">
        <f>E1455*I1455</f>
        <v>0</v>
      </c>
      <c r="M1455" s="338"/>
      <c r="N1455" s="339">
        <f>ROUND(L1455*M1455,2)</f>
        <v>0</v>
      </c>
    </row>
    <row r="1456" spans="2:14" ht="20.100000000000001" customHeight="1">
      <c r="D1456" s="76"/>
      <c r="E1456" s="77"/>
      <c r="F1456" s="44"/>
      <c r="G1456" s="65"/>
      <c r="H1456" s="44"/>
      <c r="I1456" s="48"/>
      <c r="J1456" s="46"/>
      <c r="K1456" s="46"/>
      <c r="L1456" s="48"/>
      <c r="M1456" s="71" t="s">
        <v>112</v>
      </c>
      <c r="N1456" s="270">
        <f>SUM(N1453:N1455)</f>
        <v>1.58</v>
      </c>
    </row>
    <row r="1457" spans="2:14" ht="3.95" customHeight="1">
      <c r="D1457" s="76"/>
      <c r="E1457" s="44"/>
      <c r="F1457" s="65"/>
      <c r="G1457" s="44"/>
      <c r="H1457" s="46"/>
      <c r="I1457" s="48"/>
      <c r="J1457" s="46"/>
      <c r="K1457" s="46"/>
      <c r="L1457" s="48"/>
      <c r="M1457" s="46"/>
      <c r="N1457" s="277"/>
    </row>
    <row r="1458" spans="2:14" ht="20.100000000000001" customHeight="1">
      <c r="D1458" s="40"/>
      <c r="E1458" s="65"/>
      <c r="F1458" s="65"/>
      <c r="G1458" s="65"/>
      <c r="H1458" s="44"/>
      <c r="I1458" s="233"/>
      <c r="J1458" s="143"/>
      <c r="K1458" s="565" t="s">
        <v>129</v>
      </c>
      <c r="L1458" s="566"/>
      <c r="M1458" s="567"/>
      <c r="N1458" s="279">
        <f>+N1443+N1449+N1456</f>
        <v>17.68</v>
      </c>
    </row>
    <row r="1459" spans="2:14" ht="20.100000000000001" customHeight="1">
      <c r="D1459" s="98"/>
      <c r="E1459" s="144"/>
      <c r="F1459" s="46"/>
      <c r="G1459" s="46"/>
      <c r="H1459" s="46"/>
      <c r="I1459" s="48"/>
      <c r="J1459" s="46"/>
      <c r="K1459" s="81" t="s">
        <v>115</v>
      </c>
      <c r="L1459" s="359">
        <f>DI</f>
        <v>0.26700000000000002</v>
      </c>
      <c r="M1459" s="83"/>
      <c r="N1459" s="279">
        <f>L1459*N1458</f>
        <v>4.7205599999999999</v>
      </c>
    </row>
    <row r="1460" spans="2:14" ht="20.100000000000001" customHeight="1" thickBot="1">
      <c r="D1460" s="102"/>
      <c r="E1460" s="145"/>
      <c r="F1460" s="85"/>
      <c r="G1460" s="85"/>
      <c r="H1460" s="85"/>
      <c r="I1460" s="225"/>
      <c r="J1460" s="85"/>
      <c r="K1460" s="86" t="s">
        <v>147</v>
      </c>
      <c r="L1460" s="280"/>
      <c r="M1460" s="89"/>
      <c r="N1460" s="281">
        <f>SUM(N1458:N1459)</f>
        <v>22.400559999999999</v>
      </c>
    </row>
    <row r="1461" spans="2:14" ht="3.95" customHeight="1" thickBot="1"/>
    <row r="1462" spans="2:14" ht="20.100000000000001" customHeight="1">
      <c r="D1462" s="555" t="s">
        <v>131</v>
      </c>
      <c r="E1462" s="556"/>
      <c r="F1462" s="556"/>
      <c r="G1462" s="556"/>
      <c r="H1462" s="556"/>
      <c r="I1462" s="556"/>
      <c r="J1462" s="557"/>
      <c r="K1462" s="146" t="s">
        <v>103</v>
      </c>
      <c r="L1462" s="19" t="s">
        <v>80</v>
      </c>
      <c r="M1462" s="19" t="s">
        <v>104</v>
      </c>
      <c r="N1462" s="297" t="s">
        <v>105</v>
      </c>
    </row>
    <row r="1463" spans="2:14" ht="20.100000000000001" customHeight="1">
      <c r="B1463" s="260"/>
      <c r="D1463" s="264">
        <f>IF(B1463=0,0,VLOOKUP(B1463,MAT_BET,3,FALSE))</f>
        <v>0</v>
      </c>
      <c r="E1463" s="265"/>
      <c r="F1463" s="265"/>
      <c r="G1463" s="265"/>
      <c r="H1463" s="265"/>
      <c r="I1463" s="265"/>
      <c r="J1463" s="266"/>
      <c r="K1463" s="262">
        <f>IF(B1463=0,0,VLOOKUP(B1463,MAT_BET,4,FALSE))</f>
        <v>0</v>
      </c>
      <c r="L1463" s="267">
        <f>IF(B1463=0,0,VLOOKUP(B1463,MAT_BET,5,FALSE))</f>
        <v>0</v>
      </c>
      <c r="M1463" s="147"/>
      <c r="N1463" s="445">
        <f>ROUND(L1463*M1463,2)</f>
        <v>0</v>
      </c>
    </row>
    <row r="1464" spans="2:14" ht="20.100000000000001" customHeight="1">
      <c r="D1464" s="114"/>
      <c r="E1464" s="59"/>
      <c r="F1464" s="59"/>
      <c r="G1464" s="59"/>
      <c r="H1464" s="59"/>
      <c r="I1464" s="91"/>
      <c r="J1464" s="115"/>
      <c r="K1464" s="81" t="s">
        <v>115</v>
      </c>
      <c r="L1464" s="359">
        <f>DI</f>
        <v>0.26700000000000002</v>
      </c>
      <c r="M1464" s="83"/>
      <c r="N1464" s="444">
        <f>(N1463)*L1464</f>
        <v>0</v>
      </c>
    </row>
    <row r="1465" spans="2:14" ht="20.100000000000001" customHeight="1">
      <c r="D1465" s="76"/>
      <c r="E1465" s="77"/>
      <c r="F1465" s="77"/>
      <c r="G1465" s="77"/>
      <c r="H1465" s="77"/>
      <c r="I1465" s="156"/>
      <c r="J1465" s="116"/>
      <c r="K1465" s="81" t="s">
        <v>2</v>
      </c>
      <c r="L1465" s="289"/>
      <c r="M1465" s="83"/>
      <c r="N1465" s="444">
        <f>SUM(N1463:N1464)</f>
        <v>0</v>
      </c>
    </row>
    <row r="1466" spans="2:14" ht="20.100000000000001" customHeight="1">
      <c r="D1466" s="117"/>
      <c r="E1466" s="118"/>
      <c r="F1466" s="118"/>
      <c r="G1466" s="118"/>
      <c r="H1466" s="118"/>
      <c r="I1466" s="94"/>
      <c r="J1466" s="119"/>
      <c r="K1466" s="113" t="s">
        <v>103</v>
      </c>
      <c r="L1466" s="34" t="s">
        <v>80</v>
      </c>
      <c r="M1466" s="34" t="s">
        <v>104</v>
      </c>
      <c r="N1466" s="288" t="s">
        <v>105</v>
      </c>
    </row>
    <row r="1467" spans="2:14" ht="20.100000000000001" customHeight="1">
      <c r="B1467" s="260"/>
      <c r="D1467" s="264">
        <f>IF(B1467=0,0,VLOOKUP(B1467,MAT_BET,3,FALSE))</f>
        <v>0</v>
      </c>
      <c r="E1467" s="265"/>
      <c r="F1467" s="265"/>
      <c r="G1467" s="265"/>
      <c r="H1467" s="265"/>
      <c r="I1467" s="265"/>
      <c r="J1467" s="266"/>
      <c r="K1467" s="262">
        <f>IF(B1467=0,0,VLOOKUP(B1467,MAT_BET,4,FALSE))</f>
        <v>0</v>
      </c>
      <c r="L1467" s="267">
        <f>IF(B1467=0,0,VLOOKUP(B1467,MAT_BET,5,FALSE))</f>
        <v>0</v>
      </c>
      <c r="M1467" s="147"/>
      <c r="N1467" s="317">
        <f>(L1467*M1467)</f>
        <v>0</v>
      </c>
    </row>
    <row r="1468" spans="2:14" ht="20.100000000000001" customHeight="1">
      <c r="D1468" s="114"/>
      <c r="E1468" s="59"/>
      <c r="F1468" s="59"/>
      <c r="G1468" s="59"/>
      <c r="H1468" s="59"/>
      <c r="I1468" s="91"/>
      <c r="J1468" s="115"/>
      <c r="K1468" s="81" t="s">
        <v>115</v>
      </c>
      <c r="L1468" s="359">
        <f>DI</f>
        <v>0.26700000000000002</v>
      </c>
      <c r="M1468" s="83"/>
      <c r="N1468" s="444">
        <f>(N1467)*L1468</f>
        <v>0</v>
      </c>
    </row>
    <row r="1469" spans="2:14" ht="20.100000000000001" customHeight="1" thickBot="1">
      <c r="D1469" s="76"/>
      <c r="E1469" s="77"/>
      <c r="F1469" s="77"/>
      <c r="G1469" s="77"/>
      <c r="H1469" s="77"/>
      <c r="I1469" s="156"/>
      <c r="J1469" s="116"/>
      <c r="K1469" s="97" t="s">
        <v>148</v>
      </c>
      <c r="L1469" s="290"/>
      <c r="M1469" s="120"/>
      <c r="N1469" s="443">
        <f>SUM(N1467:N1468)</f>
        <v>0</v>
      </c>
    </row>
    <row r="1470" spans="2:14" ht="20.100000000000001" customHeight="1" thickBot="1">
      <c r="D1470" s="121"/>
      <c r="E1470" s="122"/>
      <c r="F1470" s="122"/>
      <c r="G1470" s="123"/>
      <c r="H1470" s="122"/>
      <c r="I1470" s="227"/>
      <c r="J1470" s="124"/>
      <c r="K1470" s="549" t="s">
        <v>134</v>
      </c>
      <c r="L1470" s="549"/>
      <c r="M1470" s="550"/>
      <c r="N1470" s="442">
        <f>N1465+N1469</f>
        <v>0</v>
      </c>
    </row>
    <row r="1471" spans="2:14" ht="3.95" customHeight="1" thickBot="1">
      <c r="D1471" s="98"/>
      <c r="E1471" s="99"/>
      <c r="F1471" s="44"/>
      <c r="G1471" s="65"/>
      <c r="H1471" s="44"/>
      <c r="I1471" s="48"/>
      <c r="J1471" s="46"/>
      <c r="K1471" s="46"/>
      <c r="L1471" s="48"/>
      <c r="M1471" s="100"/>
      <c r="N1471" s="282"/>
    </row>
    <row r="1472" spans="2:14" ht="20.100000000000001" customHeight="1">
      <c r="D1472" s="126"/>
      <c r="E1472" s="108"/>
      <c r="F1472" s="108"/>
      <c r="G1472" s="109"/>
      <c r="H1472" s="108"/>
      <c r="I1472" s="127" t="s">
        <v>114</v>
      </c>
      <c r="J1472" s="128"/>
      <c r="K1472" s="128"/>
      <c r="L1472" s="354">
        <v>0.02</v>
      </c>
      <c r="M1472" s="129"/>
      <c r="N1472" s="294">
        <f>(N1458+N1463+N1467)*L1472</f>
        <v>0.35360000000000003</v>
      </c>
    </row>
    <row r="1473" spans="2:15" ht="20.100000000000001" customHeight="1" thickBot="1">
      <c r="D1473" s="130"/>
      <c r="E1473" s="104"/>
      <c r="F1473" s="104"/>
      <c r="G1473" s="105"/>
      <c r="H1473" s="104"/>
      <c r="I1473" s="547" t="s">
        <v>149</v>
      </c>
      <c r="J1473" s="548"/>
      <c r="K1473" s="548"/>
      <c r="L1473" s="548"/>
      <c r="M1473" s="131"/>
      <c r="N1473" s="295">
        <f>(N1443+N1456)+N1472</f>
        <v>18.0336</v>
      </c>
    </row>
    <row r="1474" spans="2:15" ht="3.95" customHeight="1">
      <c r="D1474" s="98"/>
      <c r="E1474" s="99"/>
      <c r="F1474" s="44"/>
      <c r="G1474" s="65"/>
      <c r="H1474" s="44"/>
      <c r="I1474" s="355"/>
      <c r="J1474" s="355"/>
      <c r="K1474" s="355"/>
      <c r="L1474" s="355"/>
      <c r="M1474" s="100"/>
      <c r="N1474" s="282"/>
    </row>
    <row r="1475" spans="2:15" ht="20.100000000000001" customHeight="1" thickBot="1">
      <c r="D1475" s="137"/>
      <c r="E1475" s="138"/>
      <c r="F1475" s="138"/>
      <c r="G1475" s="138"/>
      <c r="H1475" s="138"/>
      <c r="I1475" s="356" t="s">
        <v>150</v>
      </c>
      <c r="J1475" s="357"/>
      <c r="K1475" s="357"/>
      <c r="L1475" s="358">
        <f>DI</f>
        <v>0.26700000000000002</v>
      </c>
      <c r="M1475" s="140"/>
      <c r="N1475" s="295">
        <f>(L1475*N1473)+N1473</f>
        <v>22.848571200000002</v>
      </c>
    </row>
    <row r="1476" spans="2:15" s="192" customFormat="1" ht="19.5" customHeight="1">
      <c r="B1476" s="198"/>
      <c r="C1476" s="198"/>
      <c r="D1476" s="193"/>
      <c r="E1476" s="193"/>
      <c r="F1476" s="193"/>
      <c r="G1476" s="193"/>
      <c r="H1476" s="194"/>
      <c r="I1476" s="242"/>
      <c r="J1476" s="193"/>
      <c r="K1476" s="193"/>
      <c r="L1476" s="242"/>
      <c r="M1476" s="193"/>
      <c r="N1476" s="242"/>
      <c r="O1476" s="390"/>
    </row>
    <row r="1477" spans="2:15" s="192" customFormat="1" ht="19.5" customHeight="1">
      <c r="B1477" s="198"/>
      <c r="C1477" s="198"/>
      <c r="D1477" s="193"/>
      <c r="E1477" s="193"/>
      <c r="F1477" s="193"/>
      <c r="G1477" s="193"/>
      <c r="H1477" s="194"/>
      <c r="I1477" s="242"/>
      <c r="J1477" s="193"/>
      <c r="K1477" s="193"/>
      <c r="L1477" s="242"/>
      <c r="M1477" s="193"/>
      <c r="N1477" s="242"/>
      <c r="O1477" s="390"/>
    </row>
    <row r="1478" spans="2:15" s="192" customFormat="1" ht="19.5" customHeight="1" thickBot="1">
      <c r="B1478" s="198"/>
      <c r="C1478" s="198"/>
      <c r="D1478" s="193"/>
      <c r="E1478" s="193"/>
      <c r="F1478" s="193"/>
      <c r="G1478" s="193"/>
      <c r="H1478" s="194"/>
      <c r="I1478" s="242"/>
      <c r="J1478" s="193"/>
      <c r="K1478" s="193"/>
      <c r="L1478" s="242"/>
      <c r="M1478" s="193"/>
      <c r="N1478" s="242"/>
      <c r="O1478" s="390"/>
    </row>
    <row r="1479" spans="2:15" ht="20.100000000000001" customHeight="1">
      <c r="B1479" s="197" t="s">
        <v>212</v>
      </c>
      <c r="D1479" s="520"/>
      <c r="E1479" s="521"/>
      <c r="F1479" s="524" t="s">
        <v>74</v>
      </c>
      <c r="G1479" s="525"/>
      <c r="H1479" s="525"/>
      <c r="I1479" s="525"/>
      <c r="J1479" s="525"/>
      <c r="K1479" s="525"/>
      <c r="L1479" s="526"/>
      <c r="M1479" s="19" t="s">
        <v>75</v>
      </c>
      <c r="N1479" s="20" t="s">
        <v>76</v>
      </c>
    </row>
    <row r="1480" spans="2:15" ht="20.100000000000001" customHeight="1">
      <c r="D1480" s="522"/>
      <c r="E1480" s="523"/>
      <c r="F1480" s="512" t="str">
        <f>VLOOKUP(B1479,Resumo_Composições,3,FALSE)</f>
        <v>DEMOLIÇÃO DE DISPOSITIVOS DE DRENAGEM</v>
      </c>
      <c r="G1480" s="519"/>
      <c r="H1480" s="519"/>
      <c r="I1480" s="519"/>
      <c r="J1480" s="519"/>
      <c r="K1480" s="519"/>
      <c r="L1480" s="513"/>
      <c r="M1480" s="24" t="str">
        <f>VLOOKUP(B1479,Resumo_Composições,4,FALSE)</f>
        <v>M3</v>
      </c>
      <c r="N1480" s="25">
        <f>DATA</f>
        <v>41214</v>
      </c>
    </row>
    <row r="1481" spans="2:15" ht="20.100000000000001" customHeight="1">
      <c r="D1481" s="26" t="s">
        <v>77</v>
      </c>
      <c r="E1481" s="27"/>
      <c r="F1481" s="27"/>
      <c r="G1481" s="27"/>
      <c r="H1481" s="28"/>
      <c r="I1481" s="214" t="s">
        <v>78</v>
      </c>
      <c r="J1481" s="509" t="s">
        <v>79</v>
      </c>
      <c r="K1481" s="511"/>
      <c r="L1481" s="535" t="s">
        <v>80</v>
      </c>
      <c r="M1481" s="536"/>
      <c r="N1481" s="516" t="s">
        <v>81</v>
      </c>
    </row>
    <row r="1482" spans="2:15" ht="20.100000000000001" customHeight="1">
      <c r="D1482" s="31"/>
      <c r="E1482" s="32"/>
      <c r="F1482" s="32"/>
      <c r="G1482" s="32"/>
      <c r="H1482" s="33"/>
      <c r="I1482" s="34"/>
      <c r="J1482" s="51" t="s">
        <v>82</v>
      </c>
      <c r="K1482" s="51" t="s">
        <v>83</v>
      </c>
      <c r="L1482" s="51" t="s">
        <v>82</v>
      </c>
      <c r="M1482" s="51" t="s">
        <v>84</v>
      </c>
      <c r="N1482" s="517"/>
    </row>
    <row r="1483" spans="2:15" ht="20.100000000000001" customHeight="1">
      <c r="B1483" s="260"/>
      <c r="D1483" s="264">
        <f>IF(B1483=0,0,VLOOKUP(B1483,EQUIP,3,FALSE))</f>
        <v>0</v>
      </c>
      <c r="E1483" s="91"/>
      <c r="F1483" s="91"/>
      <c r="G1483" s="91"/>
      <c r="H1483" s="92"/>
      <c r="I1483" s="215"/>
      <c r="J1483" s="38"/>
      <c r="K1483" s="38"/>
      <c r="L1483" s="318">
        <f>IF(B1483=0,0,VLOOKUP(B1483,EQUIP,6,FALSE))</f>
        <v>0</v>
      </c>
      <c r="M1483" s="318">
        <f>IF(B1483=0,0,VLOOKUP(B1483,EQUIP,7,FALSE))</f>
        <v>0</v>
      </c>
      <c r="N1483" s="319">
        <f>ROUND(J1483*L1483+K1483*M1483,2)</f>
        <v>0</v>
      </c>
    </row>
    <row r="1484" spans="2:15" ht="20.100000000000001" customHeight="1">
      <c r="B1484" s="260"/>
      <c r="D1484" s="264">
        <f>IF(B1484=0,0,VLOOKUP(B1484,EQUIP,3,FALSE))</f>
        <v>0</v>
      </c>
      <c r="E1484" s="36"/>
      <c r="F1484" s="36"/>
      <c r="G1484" s="36"/>
      <c r="H1484" s="37"/>
      <c r="I1484" s="215"/>
      <c r="J1484" s="39"/>
      <c r="K1484" s="38"/>
      <c r="L1484" s="318">
        <f>IF(B1484=0,0,VLOOKUP(B1484,EQUIP,6,FALSE))</f>
        <v>0</v>
      </c>
      <c r="M1484" s="318">
        <f>IF(B1484=0,0,VLOOKUP(B1484,EQUIP,7,FALSE))</f>
        <v>0</v>
      </c>
      <c r="N1484" s="319">
        <f>ROUND(J1484*L1484+K1484*M1484,2)</f>
        <v>0</v>
      </c>
    </row>
    <row r="1485" spans="2:15" ht="20.100000000000001" customHeight="1">
      <c r="B1485" s="260"/>
      <c r="D1485" s="264">
        <f>IF(B1485=0,0,VLOOKUP(B1485,EQUIP,3,FALSE))</f>
        <v>0</v>
      </c>
      <c r="E1485" s="91"/>
      <c r="F1485" s="91"/>
      <c r="G1485" s="91"/>
      <c r="H1485" s="92"/>
      <c r="I1485" s="215"/>
      <c r="J1485" s="38"/>
      <c r="K1485" s="38"/>
      <c r="L1485" s="318">
        <f>IF(B1485=0,0,VLOOKUP(B1485,EQUIP,6,FALSE))</f>
        <v>0</v>
      </c>
      <c r="M1485" s="318">
        <f>IF(B1485=0,0,VLOOKUP(B1485,EQUIP,7,FALSE))</f>
        <v>0</v>
      </c>
      <c r="N1485" s="319">
        <f>ROUND(J1485*L1485+K1485*M1485,2)</f>
        <v>0</v>
      </c>
    </row>
    <row r="1486" spans="2:15" ht="20.100000000000001" customHeight="1">
      <c r="B1486" s="260"/>
      <c r="D1486" s="264">
        <f>IF(B1486=0,0,VLOOKUP(B1486,EQUIP,3,FALSE))</f>
        <v>0</v>
      </c>
      <c r="E1486" s="36"/>
      <c r="F1486" s="36"/>
      <c r="G1486" s="36"/>
      <c r="H1486" s="37"/>
      <c r="I1486" s="55"/>
      <c r="J1486" s="38"/>
      <c r="K1486" s="38"/>
      <c r="L1486" s="318">
        <f>IF(B1486=0,0,VLOOKUP(B1486,EQUIP,6,FALSE))</f>
        <v>0</v>
      </c>
      <c r="M1486" s="318">
        <f>IF(B1486=0,0,VLOOKUP(B1486,EQUIP,7,FALSE))</f>
        <v>0</v>
      </c>
      <c r="N1486" s="319">
        <f>ROUND(J1486*L1486+K1486*M1486,2)</f>
        <v>0</v>
      </c>
    </row>
    <row r="1487" spans="2:15" ht="20.100000000000001" customHeight="1">
      <c r="B1487" s="260"/>
      <c r="D1487" s="264">
        <f>IF(B1487=0,0,VLOOKUP(B1487,EQUIP,3,FALSE))</f>
        <v>0</v>
      </c>
      <c r="E1487" s="36"/>
      <c r="F1487" s="36"/>
      <c r="G1487" s="36"/>
      <c r="H1487" s="37"/>
      <c r="I1487" s="215"/>
      <c r="J1487" s="38"/>
      <c r="K1487" s="38"/>
      <c r="L1487" s="318">
        <f>IF(B1487=0,0,VLOOKUP(B1487,EQUIP,6,FALSE))</f>
        <v>0</v>
      </c>
      <c r="M1487" s="318">
        <f>IF(B1487=0,0,VLOOKUP(B1487,EQUIP,7,FALSE))</f>
        <v>0</v>
      </c>
      <c r="N1487" s="319">
        <f>ROUND(J1487*L1487+K1487*M1487,2)</f>
        <v>0</v>
      </c>
    </row>
    <row r="1488" spans="2:15" ht="20.100000000000001" customHeight="1">
      <c r="D1488" s="155"/>
      <c r="E1488" s="156"/>
      <c r="F1488" s="156"/>
      <c r="G1488" s="156"/>
      <c r="H1488" s="156"/>
      <c r="I1488" s="235"/>
      <c r="J1488" s="157"/>
      <c r="K1488" s="157"/>
      <c r="L1488" s="216"/>
      <c r="M1488" s="42" t="s">
        <v>89</v>
      </c>
      <c r="N1488" s="441">
        <f>SUM(N1483:N1487)</f>
        <v>0</v>
      </c>
    </row>
    <row r="1489" spans="2:14" ht="3.95" customHeight="1">
      <c r="D1489" s="158"/>
      <c r="E1489" s="159"/>
      <c r="F1489" s="159"/>
      <c r="G1489" s="160"/>
      <c r="H1489" s="159"/>
      <c r="I1489" s="236"/>
      <c r="J1489" s="161"/>
      <c r="K1489" s="162"/>
      <c r="L1489" s="163"/>
      <c r="M1489" s="163"/>
      <c r="N1489" s="300"/>
    </row>
    <row r="1490" spans="2:14" ht="20.100000000000001" customHeight="1">
      <c r="D1490" s="518" t="s">
        <v>90</v>
      </c>
      <c r="E1490" s="519"/>
      <c r="F1490" s="519"/>
      <c r="G1490" s="519"/>
      <c r="H1490" s="519"/>
      <c r="I1490" s="519"/>
      <c r="J1490" s="513"/>
      <c r="K1490" s="50" t="s">
        <v>91</v>
      </c>
      <c r="L1490" s="51" t="s">
        <v>92</v>
      </c>
      <c r="M1490" s="51" t="s">
        <v>93</v>
      </c>
      <c r="N1490" s="272" t="s">
        <v>94</v>
      </c>
    </row>
    <row r="1491" spans="2:14" ht="20.100000000000001" customHeight="1">
      <c r="B1491" s="260"/>
      <c r="D1491" s="264">
        <f>IF(B1491=0,0,VLOOKUP(B1491,MO,2,FALSE))</f>
        <v>0</v>
      </c>
      <c r="E1491" s="53"/>
      <c r="F1491" s="53"/>
      <c r="G1491" s="53"/>
      <c r="H1491" s="53"/>
      <c r="I1491" s="36"/>
      <c r="J1491" s="54"/>
      <c r="K1491" s="152"/>
      <c r="L1491" s="164"/>
      <c r="M1491" s="263">
        <f>IF(B1491=0,0,VLOOKUP(B1491,MO,6,FALSE))</f>
        <v>0</v>
      </c>
      <c r="N1491" s="316">
        <f>ROUND(L1491*M1491,2)</f>
        <v>0</v>
      </c>
    </row>
    <row r="1492" spans="2:14" ht="20.100000000000001" customHeight="1">
      <c r="B1492" s="260"/>
      <c r="D1492" s="264">
        <f>IF(B1492=0,0,VLOOKUP(B1492,MO,2,FALSE))</f>
        <v>0</v>
      </c>
      <c r="E1492" s="53"/>
      <c r="F1492" s="53"/>
      <c r="G1492" s="53"/>
      <c r="H1492" s="53"/>
      <c r="I1492" s="36"/>
      <c r="J1492" s="54"/>
      <c r="K1492" s="152"/>
      <c r="L1492" s="164"/>
      <c r="M1492" s="263">
        <f>IF(B1492=0,0,VLOOKUP(B1492,MO,6,FALSE))</f>
        <v>0</v>
      </c>
      <c r="N1492" s="316">
        <f>ROUND(L1492*M1492,2)</f>
        <v>0</v>
      </c>
    </row>
    <row r="1493" spans="2:14" ht="20.100000000000001" customHeight="1">
      <c r="B1493" s="260"/>
      <c r="D1493" s="52" t="s">
        <v>122</v>
      </c>
      <c r="E1493" s="53"/>
      <c r="F1493" s="53"/>
      <c r="G1493" s="53"/>
      <c r="H1493" s="53"/>
      <c r="I1493" s="36"/>
      <c r="J1493" s="54"/>
      <c r="K1493" s="165">
        <v>0</v>
      </c>
      <c r="L1493" s="263">
        <f>N1491+N1492</f>
        <v>0</v>
      </c>
      <c r="M1493" s="164"/>
      <c r="N1493" s="316">
        <f>ROUND(L1493*K1493,2)</f>
        <v>0</v>
      </c>
    </row>
    <row r="1494" spans="2:14" ht="20.100000000000001" customHeight="1">
      <c r="D1494" s="167"/>
      <c r="E1494" s="59"/>
      <c r="F1494" s="168"/>
      <c r="G1494" s="168"/>
      <c r="H1494" s="159"/>
      <c r="I1494" s="236"/>
      <c r="J1494" s="169"/>
      <c r="K1494" s="162"/>
      <c r="L1494" s="163"/>
      <c r="M1494" s="62" t="s">
        <v>98</v>
      </c>
      <c r="N1494" s="437">
        <f>SUM(N1491:N1493)</f>
        <v>0</v>
      </c>
    </row>
    <row r="1495" spans="2:14" ht="3.95" customHeight="1">
      <c r="D1495" s="158"/>
      <c r="E1495" s="159"/>
      <c r="F1495" s="159"/>
      <c r="G1495" s="159"/>
      <c r="H1495" s="159"/>
      <c r="I1495" s="236"/>
      <c r="J1495" s="169"/>
      <c r="K1495" s="162"/>
      <c r="L1495" s="163"/>
      <c r="M1495" s="163"/>
      <c r="N1495" s="300"/>
    </row>
    <row r="1496" spans="2:14" ht="20.100000000000001" customHeight="1">
      <c r="D1496" s="170"/>
      <c r="E1496" s="168"/>
      <c r="F1496" s="168"/>
      <c r="G1496" s="168"/>
      <c r="H1496" s="171"/>
      <c r="I1496" s="237"/>
      <c r="J1496" s="171"/>
      <c r="K1496" s="509" t="s">
        <v>99</v>
      </c>
      <c r="L1496" s="510"/>
      <c r="M1496" s="511"/>
      <c r="N1496" s="439">
        <f>+N1488+N1494</f>
        <v>0</v>
      </c>
    </row>
    <row r="1497" spans="2:14" ht="3.95" customHeight="1">
      <c r="D1497" s="172"/>
      <c r="E1497" s="159"/>
      <c r="F1497" s="159"/>
      <c r="G1497" s="160"/>
      <c r="H1497" s="159"/>
      <c r="I1497" s="236"/>
      <c r="J1497" s="161"/>
      <c r="K1497" s="162"/>
      <c r="L1497" s="163"/>
      <c r="M1497" s="163"/>
      <c r="N1497" s="300"/>
    </row>
    <row r="1498" spans="2:14" ht="20.100000000000001" customHeight="1">
      <c r="D1498" s="167"/>
      <c r="E1498" s="509" t="s">
        <v>100</v>
      </c>
      <c r="F1498" s="510"/>
      <c r="G1498" s="510"/>
      <c r="H1498" s="511"/>
      <c r="I1498" s="238">
        <v>1</v>
      </c>
      <c r="J1498" s="163"/>
      <c r="K1498" s="506" t="s">
        <v>101</v>
      </c>
      <c r="L1498" s="507"/>
      <c r="M1498" s="508"/>
      <c r="N1498" s="440">
        <f>ROUND(N1496/I1498,2)</f>
        <v>0</v>
      </c>
    </row>
    <row r="1499" spans="2:14" ht="3.95" customHeight="1">
      <c r="D1499" s="158"/>
      <c r="E1499" s="159"/>
      <c r="F1499" s="159"/>
      <c r="G1499" s="173"/>
      <c r="H1499" s="159"/>
      <c r="I1499" s="163"/>
      <c r="J1499" s="161"/>
      <c r="K1499" s="161"/>
      <c r="L1499" s="163"/>
      <c r="M1499" s="161"/>
      <c r="N1499" s="305"/>
    </row>
    <row r="1500" spans="2:14" ht="20.100000000000001" customHeight="1">
      <c r="D1500" s="49" t="s">
        <v>102</v>
      </c>
      <c r="E1500" s="22"/>
      <c r="F1500" s="22"/>
      <c r="G1500" s="22"/>
      <c r="H1500" s="22"/>
      <c r="I1500" s="141"/>
      <c r="J1500" s="23"/>
      <c r="K1500" s="50" t="s">
        <v>103</v>
      </c>
      <c r="L1500" s="51" t="s">
        <v>80</v>
      </c>
      <c r="M1500" s="51" t="s">
        <v>104</v>
      </c>
      <c r="N1500" s="272" t="s">
        <v>105</v>
      </c>
    </row>
    <row r="1501" spans="2:14" ht="20.100000000000001" customHeight="1">
      <c r="B1501" s="260" t="s">
        <v>500</v>
      </c>
      <c r="D1501" s="52" t="str">
        <f>IF(B1501=0,0,VLOOKUP(B1501,MAT,3,FALSE))</f>
        <v>DEMOLIÇÃO DE DISPOSITIVOS DE CONCRETO SIMPLES</v>
      </c>
      <c r="E1501" s="53"/>
      <c r="F1501" s="53"/>
      <c r="G1501" s="53"/>
      <c r="H1501" s="53"/>
      <c r="I1501" s="36"/>
      <c r="J1501" s="54"/>
      <c r="K1501" s="66" t="str">
        <f>IF(B1501=0,0,VLOOKUP(B1501,MAT,5,FALSE))</f>
        <v>M3</v>
      </c>
      <c r="L1501" s="55">
        <f>IF(B1501=0,0,VLOOKUP(B1501,MAT,6,FALSE))</f>
        <v>115.68</v>
      </c>
      <c r="M1501" s="321">
        <v>0.5</v>
      </c>
      <c r="N1501" s="301">
        <f>ROUND(L1501*M1501,2)</f>
        <v>57.84</v>
      </c>
    </row>
    <row r="1502" spans="2:14" ht="20.100000000000001" customHeight="1">
      <c r="B1502" s="260" t="s">
        <v>425</v>
      </c>
      <c r="D1502" s="52" t="str">
        <f>IF(B1502=0,0,VLOOKUP(B1502,MAT,3,FALSE))</f>
        <v>REMOÇÃO DE BUEIROS EXISTENTE</v>
      </c>
      <c r="E1502" s="53"/>
      <c r="F1502" s="53"/>
      <c r="G1502" s="53"/>
      <c r="H1502" s="53"/>
      <c r="I1502" s="36"/>
      <c r="J1502" s="54"/>
      <c r="K1502" s="66" t="str">
        <f>IF(B1502=0,0,VLOOKUP(B1502,MAT,5,FALSE))</f>
        <v>M</v>
      </c>
      <c r="L1502" s="55">
        <f>IF(B1502=0,0,VLOOKUP(B1502,MAT,6,FALSE))</f>
        <v>33.56</v>
      </c>
      <c r="M1502" s="321">
        <v>1.6667000000000001</v>
      </c>
      <c r="N1502" s="301">
        <f>ROUND(L1502*M1502,2)</f>
        <v>55.93</v>
      </c>
    </row>
    <row r="1503" spans="2:14" ht="20.100000000000001" customHeight="1">
      <c r="B1503" s="260"/>
      <c r="D1503" s="52"/>
      <c r="E1503" s="53"/>
      <c r="F1503" s="53"/>
      <c r="G1503" s="53"/>
      <c r="H1503" s="53"/>
      <c r="I1503" s="36"/>
      <c r="J1503" s="54"/>
      <c r="K1503" s="66"/>
      <c r="L1503" s="67"/>
      <c r="M1503" s="174"/>
      <c r="N1503" s="316">
        <f>ROUND(L1503*M1503,2)</f>
        <v>0</v>
      </c>
    </row>
    <row r="1504" spans="2:14" ht="20.100000000000001" customHeight="1">
      <c r="D1504" s="158"/>
      <c r="E1504" s="159"/>
      <c r="F1504" s="159"/>
      <c r="G1504" s="173"/>
      <c r="H1504" s="159"/>
      <c r="I1504" s="163"/>
      <c r="J1504" s="161"/>
      <c r="K1504" s="161"/>
      <c r="L1504" s="163"/>
      <c r="M1504" s="71" t="s">
        <v>106</v>
      </c>
      <c r="N1504" s="302">
        <f>SUM(N1501:N1503)</f>
        <v>113.77000000000001</v>
      </c>
    </row>
    <row r="1505" spans="2:15" ht="20.100000000000001" customHeight="1">
      <c r="D1505" s="158"/>
      <c r="E1505" s="159"/>
      <c r="F1505" s="159"/>
      <c r="G1505" s="173"/>
      <c r="H1505" s="159"/>
      <c r="I1505" s="163"/>
      <c r="J1505" s="161"/>
      <c r="K1505" s="161"/>
      <c r="L1505" s="163"/>
      <c r="M1505" s="161"/>
      <c r="N1505" s="305"/>
    </row>
    <row r="1506" spans="2:15" ht="20.100000000000001" customHeight="1">
      <c r="D1506" s="527" t="s">
        <v>107</v>
      </c>
      <c r="E1506" s="72" t="s">
        <v>2</v>
      </c>
      <c r="F1506" s="73"/>
      <c r="G1506" s="73"/>
      <c r="H1506" s="74"/>
      <c r="I1506" s="498" t="s">
        <v>108</v>
      </c>
      <c r="J1506" s="499"/>
      <c r="K1506" s="531" t="s">
        <v>103</v>
      </c>
      <c r="L1506" s="514" t="s">
        <v>80</v>
      </c>
      <c r="M1506" s="531" t="s">
        <v>109</v>
      </c>
      <c r="N1506" s="529" t="s">
        <v>105</v>
      </c>
    </row>
    <row r="1507" spans="2:15" ht="20.100000000000001" customHeight="1">
      <c r="D1507" s="528"/>
      <c r="E1507" s="512" t="s">
        <v>110</v>
      </c>
      <c r="F1507" s="513"/>
      <c r="G1507" s="512" t="s">
        <v>111</v>
      </c>
      <c r="H1507" s="513"/>
      <c r="I1507" s="500"/>
      <c r="J1507" s="501"/>
      <c r="K1507" s="532"/>
      <c r="L1507" s="515"/>
      <c r="M1507" s="532"/>
      <c r="N1507" s="530"/>
    </row>
    <row r="1508" spans="2:15" ht="21" customHeight="1">
      <c r="B1508" s="260"/>
      <c r="D1508" s="268">
        <f>IF(B1508=0,0,VLOOKUP(B1508,TRANS,3,FALSE))</f>
        <v>0</v>
      </c>
      <c r="E1508" s="581">
        <f>IF(B1508=0,0,VLOOKUP(B1508,TRANS,5,FALSE))</f>
        <v>0</v>
      </c>
      <c r="F1508" s="582"/>
      <c r="G1508" s="577"/>
      <c r="H1508" s="578"/>
      <c r="I1508" s="581"/>
      <c r="J1508" s="582">
        <v>50</v>
      </c>
      <c r="K1508" s="262">
        <f>IF(B1508=0,0,VLOOKUP(B1508,TRANS,4,FALSE))</f>
        <v>0</v>
      </c>
      <c r="L1508" s="267">
        <f>E1508*I1508</f>
        <v>0</v>
      </c>
      <c r="M1508" s="267"/>
      <c r="N1508" s="317">
        <f>ROUND(L1508*M1508,2)</f>
        <v>0</v>
      </c>
    </row>
    <row r="1509" spans="2:15" ht="21" customHeight="1">
      <c r="B1509" s="260"/>
      <c r="D1509" s="268">
        <f>IF(B1509=0,0,VLOOKUP(B1509,TRANS,3,FALSE))</f>
        <v>0</v>
      </c>
      <c r="E1509" s="581">
        <f>IF(B1509=0,0,VLOOKUP(B1509,TRANS,5,FALSE))</f>
        <v>0</v>
      </c>
      <c r="F1509" s="582"/>
      <c r="G1509" s="577"/>
      <c r="H1509" s="578"/>
      <c r="I1509" s="581"/>
      <c r="J1509" s="582"/>
      <c r="K1509" s="262">
        <f>IF(B1509=0,0,VLOOKUP(B1509,TRANS,4,FALSE))</f>
        <v>0</v>
      </c>
      <c r="L1509" s="267">
        <f>E1509*I1509</f>
        <v>0</v>
      </c>
      <c r="M1509" s="267"/>
      <c r="N1509" s="317">
        <f>ROUND(L1509*M1509,2)</f>
        <v>0</v>
      </c>
    </row>
    <row r="1510" spans="2:15" ht="21" customHeight="1">
      <c r="B1510" s="260"/>
      <c r="D1510" s="268"/>
      <c r="E1510" s="504"/>
      <c r="F1510" s="505"/>
      <c r="G1510" s="502"/>
      <c r="H1510" s="503"/>
      <c r="I1510" s="533"/>
      <c r="J1510" s="534"/>
      <c r="K1510" s="66"/>
      <c r="L1510" s="67"/>
      <c r="M1510" s="70"/>
      <c r="N1510" s="317">
        <f>ROUND(L1510*M1510,2)</f>
        <v>0</v>
      </c>
    </row>
    <row r="1511" spans="2:15" ht="20.100000000000001" customHeight="1">
      <c r="D1511" s="175"/>
      <c r="E1511" s="176"/>
      <c r="F1511" s="159"/>
      <c r="G1511" s="173"/>
      <c r="H1511" s="159"/>
      <c r="I1511" s="163"/>
      <c r="J1511" s="161"/>
      <c r="K1511" s="161"/>
      <c r="L1511" s="163"/>
      <c r="M1511" s="71" t="s">
        <v>112</v>
      </c>
      <c r="N1511" s="437">
        <f>SUM(N1508:N1510)</f>
        <v>0</v>
      </c>
    </row>
    <row r="1512" spans="2:15" ht="3.95" customHeight="1" thickBot="1">
      <c r="D1512" s="175"/>
      <c r="E1512" s="159"/>
      <c r="F1512" s="173"/>
      <c r="G1512" s="159"/>
      <c r="H1512" s="161"/>
      <c r="I1512" s="163"/>
      <c r="J1512" s="161"/>
      <c r="K1512" s="161"/>
      <c r="L1512" s="163"/>
      <c r="M1512" s="161"/>
      <c r="N1512" s="305"/>
    </row>
    <row r="1513" spans="2:15" ht="20.100000000000001" customHeight="1">
      <c r="D1513" s="177"/>
      <c r="E1513" s="178"/>
      <c r="F1513" s="178"/>
      <c r="G1513" s="178"/>
      <c r="H1513" s="179"/>
      <c r="I1513" s="239"/>
      <c r="J1513" s="127" t="s">
        <v>114</v>
      </c>
      <c r="K1513" s="128"/>
      <c r="L1513" s="306"/>
      <c r="M1513" s="129">
        <v>0.02</v>
      </c>
      <c r="N1513" s="307">
        <f>(+N1498+N1504+N1511)*M1513</f>
        <v>2.2754000000000003</v>
      </c>
    </row>
    <row r="1514" spans="2:15" ht="20.100000000000001" customHeight="1" thickBot="1">
      <c r="D1514" s="180"/>
      <c r="E1514" s="181"/>
      <c r="F1514" s="181"/>
      <c r="G1514" s="181"/>
      <c r="H1514" s="181"/>
      <c r="I1514" s="240"/>
      <c r="J1514" s="537" t="s">
        <v>149</v>
      </c>
      <c r="K1514" s="538"/>
      <c r="L1514" s="538"/>
      <c r="M1514" s="538"/>
      <c r="N1514" s="308">
        <f>+N1499+N1504+N1511+N1513</f>
        <v>116.04540000000001</v>
      </c>
    </row>
    <row r="1515" spans="2:15" ht="20.100000000000001" customHeight="1" thickBot="1">
      <c r="D1515" s="182"/>
      <c r="E1515" s="183"/>
      <c r="F1515" s="183"/>
      <c r="G1515" s="183"/>
      <c r="H1515" s="183"/>
      <c r="I1515" s="241"/>
      <c r="J1515" s="184" t="s">
        <v>158</v>
      </c>
      <c r="K1515" s="185"/>
      <c r="L1515" s="309"/>
      <c r="M1515" s="186">
        <f>DI</f>
        <v>0.26700000000000002</v>
      </c>
      <c r="N1515" s="310">
        <f>(M1515*N1514)+N1514</f>
        <v>147.02952180000003</v>
      </c>
    </row>
    <row r="1516" spans="2:15" s="192" customFormat="1" ht="19.5" customHeight="1">
      <c r="B1516" s="198"/>
      <c r="C1516" s="198"/>
      <c r="D1516" s="193"/>
      <c r="E1516" s="193"/>
      <c r="F1516" s="193"/>
      <c r="G1516" s="193"/>
      <c r="H1516" s="194"/>
      <c r="I1516" s="242"/>
      <c r="J1516" s="193"/>
      <c r="K1516" s="193"/>
      <c r="L1516" s="242"/>
      <c r="M1516" s="193"/>
      <c r="N1516" s="242"/>
      <c r="O1516" s="390"/>
    </row>
    <row r="1517" spans="2:15" s="192" customFormat="1" ht="19.5" customHeight="1">
      <c r="B1517" s="198"/>
      <c r="C1517" s="198"/>
      <c r="D1517" s="193"/>
      <c r="E1517" s="193"/>
      <c r="F1517" s="193"/>
      <c r="G1517" s="193"/>
      <c r="H1517" s="194"/>
      <c r="I1517" s="242"/>
      <c r="J1517" s="193"/>
      <c r="K1517" s="193"/>
      <c r="L1517" s="242"/>
      <c r="M1517" s="193"/>
      <c r="N1517" s="242"/>
      <c r="O1517" s="390"/>
    </row>
    <row r="1518" spans="2:15" s="192" customFormat="1" ht="19.5" customHeight="1" thickBot="1">
      <c r="B1518" s="198"/>
      <c r="C1518" s="198"/>
      <c r="D1518" s="193"/>
      <c r="E1518" s="193"/>
      <c r="F1518" s="193"/>
      <c r="G1518" s="193"/>
      <c r="H1518" s="194"/>
      <c r="I1518" s="242"/>
      <c r="J1518" s="193"/>
      <c r="K1518" s="193"/>
      <c r="L1518" s="242"/>
      <c r="M1518" s="193"/>
      <c r="N1518" s="242"/>
      <c r="O1518" s="390"/>
    </row>
    <row r="1519" spans="2:15" ht="20.100000000000001" customHeight="1">
      <c r="B1519" s="197" t="s">
        <v>213</v>
      </c>
      <c r="D1519" s="520"/>
      <c r="E1519" s="521"/>
      <c r="F1519" s="524" t="s">
        <v>74</v>
      </c>
      <c r="G1519" s="525"/>
      <c r="H1519" s="525"/>
      <c r="I1519" s="525"/>
      <c r="J1519" s="525"/>
      <c r="K1519" s="525"/>
      <c r="L1519" s="526"/>
      <c r="M1519" s="19" t="s">
        <v>75</v>
      </c>
      <c r="N1519" s="20" t="s">
        <v>76</v>
      </c>
    </row>
    <row r="1520" spans="2:15" ht="20.100000000000001" customHeight="1">
      <c r="D1520" s="522"/>
      <c r="E1520" s="523"/>
      <c r="F1520" s="512" t="str">
        <f>VLOOKUP(B1519,Resumo_Composições,3,FALSE)</f>
        <v>RECICLAGEM A FRIO IN SITU DE REVESTIMENTO ASFÁLTICO  COM EMULSÃO</v>
      </c>
      <c r="G1520" s="519"/>
      <c r="H1520" s="519"/>
      <c r="I1520" s="519"/>
      <c r="J1520" s="519"/>
      <c r="K1520" s="519"/>
      <c r="L1520" s="513"/>
      <c r="M1520" s="24" t="str">
        <f>VLOOKUP(B1519,Resumo_Composições,4,FALSE)</f>
        <v>M3</v>
      </c>
      <c r="N1520" s="25">
        <f>DATA</f>
        <v>41214</v>
      </c>
    </row>
    <row r="1521" spans="2:14" ht="20.100000000000001" customHeight="1">
      <c r="D1521" s="26" t="s">
        <v>77</v>
      </c>
      <c r="E1521" s="27"/>
      <c r="F1521" s="27"/>
      <c r="G1521" s="27"/>
      <c r="H1521" s="28"/>
      <c r="I1521" s="214" t="s">
        <v>78</v>
      </c>
      <c r="J1521" s="509" t="s">
        <v>79</v>
      </c>
      <c r="K1521" s="511"/>
      <c r="L1521" s="535" t="s">
        <v>80</v>
      </c>
      <c r="M1521" s="536"/>
      <c r="N1521" s="516" t="s">
        <v>81</v>
      </c>
    </row>
    <row r="1522" spans="2:14" ht="20.100000000000001" customHeight="1">
      <c r="D1522" s="31"/>
      <c r="E1522" s="32"/>
      <c r="F1522" s="32"/>
      <c r="G1522" s="32"/>
      <c r="H1522" s="33"/>
      <c r="I1522" s="34"/>
      <c r="J1522" s="51" t="s">
        <v>82</v>
      </c>
      <c r="K1522" s="51" t="s">
        <v>83</v>
      </c>
      <c r="L1522" s="51" t="s">
        <v>82</v>
      </c>
      <c r="M1522" s="51" t="s">
        <v>84</v>
      </c>
      <c r="N1522" s="517"/>
    </row>
    <row r="1523" spans="2:14" ht="20.100000000000001" customHeight="1">
      <c r="B1523" s="260" t="s">
        <v>276</v>
      </c>
      <c r="D1523" s="264" t="str">
        <f t="shared" ref="D1523:D1530" si="88">IF(B1523=0,0,VLOOKUP(B1523,EQUIP,3,FALSE))</f>
        <v>ESTABILIZADOR / RECICLADORA A FRIO</v>
      </c>
      <c r="E1523" s="91"/>
      <c r="F1523" s="91"/>
      <c r="G1523" s="91"/>
      <c r="H1523" s="92"/>
      <c r="I1523" s="215">
        <v>1</v>
      </c>
      <c r="J1523" s="38">
        <v>1</v>
      </c>
      <c r="K1523" s="38">
        <f>I1523-J1523</f>
        <v>0</v>
      </c>
      <c r="L1523" s="318">
        <f t="shared" ref="L1523:L1530" si="89">IF(B1523=0,0,VLOOKUP(B1523,EQUIP,6,FALSE))</f>
        <v>426.84</v>
      </c>
      <c r="M1523" s="318">
        <f t="shared" ref="M1523:M1530" si="90">IF(B1523=0,0,VLOOKUP(B1523,EQUIP,7,FALSE))</f>
        <v>23.67</v>
      </c>
      <c r="N1523" s="405">
        <f>ROUND(I1523*J1523*L1523+K1523*M1523,2)</f>
        <v>426.84</v>
      </c>
    </row>
    <row r="1524" spans="2:14" ht="20.100000000000001" customHeight="1">
      <c r="B1524" s="260" t="s">
        <v>293</v>
      </c>
      <c r="D1524" s="264" t="str">
        <f t="shared" si="88"/>
        <v>TRATOR AGRICOLA PNEUS CBT + VASSOURA MECÂNICA</v>
      </c>
      <c r="E1524" s="91"/>
      <c r="F1524" s="91"/>
      <c r="G1524" s="91"/>
      <c r="H1524" s="92"/>
      <c r="I1524" s="215">
        <v>1</v>
      </c>
      <c r="J1524" s="38">
        <v>0.35</v>
      </c>
      <c r="K1524" s="38">
        <f t="shared" ref="K1524:K1530" si="91">I1524-J1524</f>
        <v>0.65</v>
      </c>
      <c r="L1524" s="318">
        <f t="shared" si="89"/>
        <v>85.451990333889825</v>
      </c>
      <c r="M1524" s="318">
        <f t="shared" si="90"/>
        <v>17.27</v>
      </c>
      <c r="N1524" s="405">
        <f t="shared" ref="N1524:N1530" si="92">ROUND(I1524*J1524*L1524+K1524*M1524,2)</f>
        <v>41.13</v>
      </c>
    </row>
    <row r="1525" spans="2:14" ht="20.100000000000001" customHeight="1">
      <c r="B1525" s="260" t="s">
        <v>282</v>
      </c>
      <c r="D1525" s="264" t="str">
        <f t="shared" si="88"/>
        <v>ROLO AUTOPROPELIDO LISO VIBRATORIO DYNAPAC</v>
      </c>
      <c r="E1525" s="36"/>
      <c r="F1525" s="36"/>
      <c r="G1525" s="36"/>
      <c r="H1525" s="37"/>
      <c r="I1525" s="215">
        <v>1</v>
      </c>
      <c r="J1525" s="39">
        <v>0.36</v>
      </c>
      <c r="K1525" s="38">
        <f t="shared" si="91"/>
        <v>0.64</v>
      </c>
      <c r="L1525" s="318">
        <f t="shared" si="89"/>
        <v>102.4</v>
      </c>
      <c r="M1525" s="318">
        <f t="shared" si="90"/>
        <v>17.27</v>
      </c>
      <c r="N1525" s="405">
        <f t="shared" si="92"/>
        <v>47.92</v>
      </c>
    </row>
    <row r="1526" spans="2:14" ht="20.100000000000001" customHeight="1">
      <c r="B1526" s="260" t="s">
        <v>512</v>
      </c>
      <c r="D1526" s="264" t="str">
        <f t="shared" si="88"/>
        <v>MOTONIVELADORA CATERPILLAR CAT-1208</v>
      </c>
      <c r="E1526" s="91"/>
      <c r="F1526" s="91"/>
      <c r="G1526" s="91"/>
      <c r="H1526" s="92"/>
      <c r="I1526" s="215">
        <v>1</v>
      </c>
      <c r="J1526" s="38">
        <v>0.13</v>
      </c>
      <c r="K1526" s="38">
        <f t="shared" si="91"/>
        <v>0.87</v>
      </c>
      <c r="L1526" s="318">
        <f t="shared" si="89"/>
        <v>153.06</v>
      </c>
      <c r="M1526" s="318">
        <f t="shared" si="90"/>
        <v>22.39</v>
      </c>
      <c r="N1526" s="405">
        <f t="shared" si="92"/>
        <v>39.380000000000003</v>
      </c>
    </row>
    <row r="1527" spans="2:14" ht="20.100000000000001" customHeight="1">
      <c r="B1527" s="260" t="s">
        <v>514</v>
      </c>
      <c r="D1527" s="264" t="str">
        <f t="shared" si="88"/>
        <v>CAMINHÃO IRRIGADEIRA MB L2214/42</v>
      </c>
      <c r="E1527" s="36"/>
      <c r="F1527" s="36"/>
      <c r="G1527" s="36"/>
      <c r="H1527" s="37"/>
      <c r="I1527" s="55">
        <v>1</v>
      </c>
      <c r="J1527" s="38">
        <v>7.0000000000000007E-2</v>
      </c>
      <c r="K1527" s="38">
        <f t="shared" si="91"/>
        <v>0.92999999999999994</v>
      </c>
      <c r="L1527" s="318">
        <f t="shared" si="89"/>
        <v>86.74</v>
      </c>
      <c r="M1527" s="318">
        <f t="shared" si="90"/>
        <v>20.47</v>
      </c>
      <c r="N1527" s="405">
        <f t="shared" si="92"/>
        <v>25.11</v>
      </c>
    </row>
    <row r="1528" spans="2:14" ht="20.100000000000001" customHeight="1">
      <c r="B1528" s="260" t="s">
        <v>263</v>
      </c>
      <c r="D1528" s="264" t="str">
        <f t="shared" si="88"/>
        <v>CAMINHÃO ESPARGIDOR</v>
      </c>
      <c r="E1528" s="36"/>
      <c r="F1528" s="36"/>
      <c r="G1528" s="36"/>
      <c r="H1528" s="37"/>
      <c r="I1528" s="215">
        <v>1</v>
      </c>
      <c r="J1528" s="38">
        <v>1</v>
      </c>
      <c r="K1528" s="38">
        <f t="shared" si="91"/>
        <v>0</v>
      </c>
      <c r="L1528" s="318">
        <f t="shared" si="89"/>
        <v>123.34643018381168</v>
      </c>
      <c r="M1528" s="318">
        <f t="shared" si="90"/>
        <v>20.47</v>
      </c>
      <c r="N1528" s="405">
        <f t="shared" si="92"/>
        <v>123.35</v>
      </c>
    </row>
    <row r="1529" spans="2:14" ht="20.100000000000001" customHeight="1">
      <c r="B1529" s="260" t="s">
        <v>516</v>
      </c>
      <c r="D1529" s="264" t="str">
        <f t="shared" si="88"/>
        <v>CAMINHÃO DISTRIBUIDOR DE CIMENTO</v>
      </c>
      <c r="E1529" s="36"/>
      <c r="F1529" s="36"/>
      <c r="G1529" s="36"/>
      <c r="H1529" s="37"/>
      <c r="I1529" s="215">
        <v>1</v>
      </c>
      <c r="J1529" s="38">
        <v>1</v>
      </c>
      <c r="K1529" s="38">
        <f t="shared" si="91"/>
        <v>0</v>
      </c>
      <c r="L1529" s="318">
        <f t="shared" si="89"/>
        <v>98.33</v>
      </c>
      <c r="M1529" s="318">
        <f t="shared" si="90"/>
        <v>20.47</v>
      </c>
      <c r="N1529" s="405">
        <f t="shared" si="92"/>
        <v>98.33</v>
      </c>
    </row>
    <row r="1530" spans="2:14" ht="20.100000000000001" customHeight="1">
      <c r="B1530" s="260" t="s">
        <v>284</v>
      </c>
      <c r="D1530" s="264" t="str">
        <f t="shared" si="88"/>
        <v>ROLO COMPACTADOR - DE PNEUS AUTOPROPELIDO 21 t (97kW)</v>
      </c>
      <c r="E1530" s="36"/>
      <c r="F1530" s="36"/>
      <c r="G1530" s="36"/>
      <c r="H1530" s="37"/>
      <c r="I1530" s="215">
        <v>2</v>
      </c>
      <c r="J1530" s="38">
        <v>1.06</v>
      </c>
      <c r="K1530" s="38">
        <f t="shared" si="91"/>
        <v>0.94</v>
      </c>
      <c r="L1530" s="318">
        <f t="shared" si="89"/>
        <v>96.39</v>
      </c>
      <c r="M1530" s="318">
        <f t="shared" si="90"/>
        <v>17.27</v>
      </c>
      <c r="N1530" s="405">
        <f t="shared" si="92"/>
        <v>220.58</v>
      </c>
    </row>
    <row r="1531" spans="2:14" ht="20.100000000000001" customHeight="1">
      <c r="D1531" s="155"/>
      <c r="E1531" s="156"/>
      <c r="F1531" s="156"/>
      <c r="G1531" s="156"/>
      <c r="H1531" s="156"/>
      <c r="I1531" s="235"/>
      <c r="J1531" s="157"/>
      <c r="K1531" s="157"/>
      <c r="L1531" s="216"/>
      <c r="M1531" s="42" t="s">
        <v>89</v>
      </c>
      <c r="N1531" s="401">
        <f>SUM(N1523:N1530)</f>
        <v>1022.6400000000001</v>
      </c>
    </row>
    <row r="1532" spans="2:14" ht="3.95" customHeight="1">
      <c r="D1532" s="158"/>
      <c r="E1532" s="159"/>
      <c r="F1532" s="159"/>
      <c r="G1532" s="160"/>
      <c r="H1532" s="159"/>
      <c r="I1532" s="236"/>
      <c r="J1532" s="161"/>
      <c r="K1532" s="162"/>
      <c r="L1532" s="163"/>
      <c r="M1532" s="163"/>
      <c r="N1532" s="300"/>
    </row>
    <row r="1533" spans="2:14" ht="20.100000000000001" customHeight="1">
      <c r="D1533" s="518" t="s">
        <v>90</v>
      </c>
      <c r="E1533" s="519"/>
      <c r="F1533" s="519"/>
      <c r="G1533" s="519"/>
      <c r="H1533" s="519"/>
      <c r="I1533" s="519"/>
      <c r="J1533" s="513"/>
      <c r="K1533" s="50" t="s">
        <v>91</v>
      </c>
      <c r="L1533" s="51" t="s">
        <v>92</v>
      </c>
      <c r="M1533" s="51" t="s">
        <v>93</v>
      </c>
      <c r="N1533" s="272" t="s">
        <v>94</v>
      </c>
    </row>
    <row r="1534" spans="2:14" ht="20.100000000000001" customHeight="1">
      <c r="B1534" s="260" t="s">
        <v>247</v>
      </c>
      <c r="D1534" s="264" t="str">
        <f>IF(B1534=0,0,VLOOKUP(B1534,MO,2,FALSE))</f>
        <v>ENCARREGADO DE TURMA</v>
      </c>
      <c r="E1534" s="53"/>
      <c r="F1534" s="53"/>
      <c r="G1534" s="53"/>
      <c r="H1534" s="53"/>
      <c r="I1534" s="36"/>
      <c r="J1534" s="54"/>
      <c r="K1534" s="152"/>
      <c r="L1534" s="164">
        <v>1</v>
      </c>
      <c r="M1534" s="263">
        <f>IF(B1534=0,0,VLOOKUP(B1534,MO,6,FALSE))</f>
        <v>27</v>
      </c>
      <c r="N1534" s="316">
        <f>ROUND(L1534*M1534,2)</f>
        <v>27</v>
      </c>
    </row>
    <row r="1535" spans="2:14" ht="20.100000000000001" customHeight="1">
      <c r="B1535" s="260" t="s">
        <v>248</v>
      </c>
      <c r="D1535" s="264" t="str">
        <f>IF(B1535=0,0,VLOOKUP(B1535,MO,2,FALSE))</f>
        <v>SERVENTE</v>
      </c>
      <c r="E1535" s="53"/>
      <c r="F1535" s="53"/>
      <c r="G1535" s="53"/>
      <c r="H1535" s="53"/>
      <c r="I1535" s="36"/>
      <c r="J1535" s="54"/>
      <c r="K1535" s="152"/>
      <c r="L1535" s="164">
        <v>10</v>
      </c>
      <c r="M1535" s="263">
        <f>IF(B1535=0,0,VLOOKUP(B1535,MO,6,FALSE))</f>
        <v>7.9973000000000001</v>
      </c>
      <c r="N1535" s="316">
        <f>ROUND(L1535*M1535,2)</f>
        <v>79.97</v>
      </c>
    </row>
    <row r="1536" spans="2:14" ht="20.100000000000001" customHeight="1">
      <c r="B1536" s="260"/>
      <c r="D1536" s="52" t="s">
        <v>122</v>
      </c>
      <c r="E1536" s="53"/>
      <c r="F1536" s="53"/>
      <c r="G1536" s="53"/>
      <c r="H1536" s="53"/>
      <c r="I1536" s="36"/>
      <c r="J1536" s="54"/>
      <c r="K1536" s="165">
        <v>0</v>
      </c>
      <c r="L1536" s="166">
        <f>N1534+N1535</f>
        <v>106.97</v>
      </c>
      <c r="M1536" s="164"/>
      <c r="N1536" s="316">
        <f>ROUND(L1536*K1536,2)</f>
        <v>0</v>
      </c>
    </row>
    <row r="1537" spans="2:14" ht="20.100000000000001" customHeight="1">
      <c r="D1537" s="167"/>
      <c r="E1537" s="59"/>
      <c r="F1537" s="168"/>
      <c r="G1537" s="168"/>
      <c r="H1537" s="159"/>
      <c r="I1537" s="236"/>
      <c r="J1537" s="169"/>
      <c r="K1537" s="162"/>
      <c r="L1537" s="163"/>
      <c r="M1537" s="62" t="s">
        <v>98</v>
      </c>
      <c r="N1537" s="302">
        <f>SUM(N1534:N1536)</f>
        <v>106.97</v>
      </c>
    </row>
    <row r="1538" spans="2:14" ht="3.95" customHeight="1">
      <c r="D1538" s="158"/>
      <c r="E1538" s="159"/>
      <c r="F1538" s="159"/>
      <c r="G1538" s="159"/>
      <c r="H1538" s="159"/>
      <c r="I1538" s="236"/>
      <c r="J1538" s="169"/>
      <c r="K1538" s="162"/>
      <c r="L1538" s="163"/>
      <c r="M1538" s="163"/>
      <c r="N1538" s="300"/>
    </row>
    <row r="1539" spans="2:14" ht="20.100000000000001" customHeight="1">
      <c r="D1539" s="170"/>
      <c r="E1539" s="168"/>
      <c r="F1539" s="168"/>
      <c r="G1539" s="168"/>
      <c r="H1539" s="171"/>
      <c r="I1539" s="237"/>
      <c r="J1539" s="171"/>
      <c r="K1539" s="509" t="s">
        <v>99</v>
      </c>
      <c r="L1539" s="510"/>
      <c r="M1539" s="511"/>
      <c r="N1539" s="303">
        <f>+N1531+N1537</f>
        <v>1129.6100000000001</v>
      </c>
    </row>
    <row r="1540" spans="2:14" ht="3.95" customHeight="1">
      <c r="D1540" s="172"/>
      <c r="E1540" s="159"/>
      <c r="F1540" s="159"/>
      <c r="G1540" s="160"/>
      <c r="H1540" s="159"/>
      <c r="I1540" s="236"/>
      <c r="J1540" s="161"/>
      <c r="K1540" s="162"/>
      <c r="L1540" s="163"/>
      <c r="M1540" s="163"/>
      <c r="N1540" s="300"/>
    </row>
    <row r="1541" spans="2:14" ht="20.100000000000001" customHeight="1">
      <c r="D1541" s="167"/>
      <c r="E1541" s="509" t="s">
        <v>100</v>
      </c>
      <c r="F1541" s="510"/>
      <c r="G1541" s="510"/>
      <c r="H1541" s="511"/>
      <c r="I1541" s="238">
        <v>44.69</v>
      </c>
      <c r="J1541" s="163"/>
      <c r="K1541" s="506" t="s">
        <v>101</v>
      </c>
      <c r="L1541" s="507"/>
      <c r="M1541" s="508"/>
      <c r="N1541" s="304">
        <f>ROUND(N1539/I1541,2)</f>
        <v>25.28</v>
      </c>
    </row>
    <row r="1542" spans="2:14" ht="3.95" customHeight="1">
      <c r="D1542" s="158"/>
      <c r="E1542" s="159"/>
      <c r="F1542" s="159"/>
      <c r="G1542" s="173"/>
      <c r="H1542" s="159"/>
      <c r="I1542" s="163"/>
      <c r="J1542" s="161"/>
      <c r="K1542" s="161"/>
      <c r="L1542" s="163"/>
      <c r="M1542" s="161"/>
      <c r="N1542" s="305"/>
    </row>
    <row r="1543" spans="2:14" ht="20.100000000000001" customHeight="1">
      <c r="D1543" s="49" t="s">
        <v>102</v>
      </c>
      <c r="E1543" s="22"/>
      <c r="F1543" s="22"/>
      <c r="G1543" s="22"/>
      <c r="H1543" s="22"/>
      <c r="I1543" s="141"/>
      <c r="J1543" s="23"/>
      <c r="K1543" s="50" t="s">
        <v>103</v>
      </c>
      <c r="L1543" s="51" t="s">
        <v>80</v>
      </c>
      <c r="M1543" s="51" t="s">
        <v>104</v>
      </c>
      <c r="N1543" s="272" t="s">
        <v>105</v>
      </c>
    </row>
    <row r="1544" spans="2:14" ht="20.100000000000001" customHeight="1">
      <c r="B1544" s="260" t="s">
        <v>445</v>
      </c>
      <c r="D1544" s="52" t="str">
        <f>IF(B1544=0,0,VLOOKUP(B1544,MAT,3,FALSE))</f>
        <v>CIMENTO PORTLAND CP-32</v>
      </c>
      <c r="E1544" s="53"/>
      <c r="F1544" s="53"/>
      <c r="G1544" s="53"/>
      <c r="H1544" s="53"/>
      <c r="I1544" s="36"/>
      <c r="J1544" s="54"/>
      <c r="K1544" s="66" t="str">
        <f>IF(B1544=0,0,VLOOKUP(B1544,MAT,5,FALSE))</f>
        <v>KG</v>
      </c>
      <c r="L1544" s="55">
        <f>IF(B1544=0,0,VLOOKUP(B1544,MAT,6,FALSE))</f>
        <v>0.35620000000000002</v>
      </c>
      <c r="M1544" s="321">
        <v>78.75</v>
      </c>
      <c r="N1544" s="301">
        <f>ROUND(L1544*M1544,2)</f>
        <v>28.05</v>
      </c>
    </row>
    <row r="1545" spans="2:14" ht="20.100000000000001" customHeight="1">
      <c r="B1545" s="260" t="s">
        <v>317</v>
      </c>
      <c r="D1545" s="52" t="str">
        <f>IF(B1545=0,0,VLOOKUP(B1545,MAT,3,FALSE))</f>
        <v>PEDRISCO</v>
      </c>
      <c r="E1545" s="53"/>
      <c r="F1545" s="53"/>
      <c r="G1545" s="53"/>
      <c r="H1545" s="53"/>
      <c r="I1545" s="36"/>
      <c r="J1545" s="54"/>
      <c r="K1545" s="66" t="str">
        <f>IF(B1545=0,0,VLOOKUP(B1545,MAT,5,FALSE))</f>
        <v>M3</v>
      </c>
      <c r="L1545" s="55">
        <f>IF(B1545=0,0,VLOOKUP(B1545,MAT,6,FALSE))</f>
        <v>37.880000000000003</v>
      </c>
      <c r="M1545" s="321">
        <v>0.24</v>
      </c>
      <c r="N1545" s="301">
        <f>ROUND(L1545*M1545,2)</f>
        <v>9.09</v>
      </c>
    </row>
    <row r="1546" spans="2:14" ht="20.100000000000001" customHeight="1">
      <c r="B1546" s="260" t="s">
        <v>511</v>
      </c>
      <c r="D1546" s="52" t="str">
        <f>IF(B1546=0,0,VLOOKUP(B1546,MAT,3,FALSE))</f>
        <v>BITS</v>
      </c>
      <c r="E1546" s="53"/>
      <c r="F1546" s="53"/>
      <c r="G1546" s="53"/>
      <c r="H1546" s="53"/>
      <c r="I1546" s="36"/>
      <c r="J1546" s="54"/>
      <c r="K1546" s="66" t="str">
        <f>IF(B1546=0,0,VLOOKUP(B1546,MAT,5,FALSE))</f>
        <v>UNID.</v>
      </c>
      <c r="L1546" s="55">
        <f>IF(B1546=0,0,VLOOKUP(B1546,MAT,6,FALSE))</f>
        <v>780.90000000000009</v>
      </c>
      <c r="M1546" s="321">
        <v>1.47E-2</v>
      </c>
      <c r="N1546" s="301">
        <f>ROUND(L1546*M1546,2)</f>
        <v>11.48</v>
      </c>
    </row>
    <row r="1547" spans="2:14" ht="20.100000000000001" customHeight="1">
      <c r="B1547" s="260" t="s">
        <v>518</v>
      </c>
      <c r="D1547" s="52" t="str">
        <f>IF(B1547=0,0,VLOOKUP(B1547,MAT,3,FALSE))</f>
        <v>PORTA DENTE PARA FRESADORA 1000 DC</v>
      </c>
      <c r="E1547" s="53"/>
      <c r="F1547" s="53"/>
      <c r="G1547" s="53"/>
      <c r="H1547" s="53"/>
      <c r="I1547" s="36"/>
      <c r="J1547" s="54"/>
      <c r="K1547" s="66" t="str">
        <f>IF(B1547=0,0,VLOOKUP(B1547,MAT,5,FALSE))</f>
        <v>UNID.</v>
      </c>
      <c r="L1547" s="55">
        <f>IF(B1547=0,0,VLOOKUP(B1547,MAT,6,FALSE))</f>
        <v>40.53</v>
      </c>
      <c r="M1547" s="321">
        <v>5.2900000000000004E-3</v>
      </c>
      <c r="N1547" s="301">
        <f>ROUND(L1547*M1547,2)</f>
        <v>0.21</v>
      </c>
    </row>
    <row r="1548" spans="2:14" ht="20.100000000000001" customHeight="1">
      <c r="D1548" s="158"/>
      <c r="E1548" s="159"/>
      <c r="F1548" s="159"/>
      <c r="G1548" s="173"/>
      <c r="H1548" s="159"/>
      <c r="I1548" s="163"/>
      <c r="J1548" s="161"/>
      <c r="K1548" s="161"/>
      <c r="L1548" s="163"/>
      <c r="M1548" s="71" t="s">
        <v>106</v>
      </c>
      <c r="N1548" s="302">
        <f>SUM(N1544:N1547)</f>
        <v>48.830000000000005</v>
      </c>
    </row>
    <row r="1549" spans="2:14" ht="20.100000000000001" customHeight="1">
      <c r="D1549" s="158"/>
      <c r="E1549" s="159"/>
      <c r="F1549" s="159"/>
      <c r="G1549" s="173"/>
      <c r="H1549" s="159"/>
      <c r="I1549" s="163"/>
      <c r="J1549" s="161"/>
      <c r="K1549" s="161"/>
      <c r="L1549" s="163"/>
      <c r="M1549" s="161"/>
      <c r="N1549" s="305"/>
    </row>
    <row r="1550" spans="2:14" ht="20.100000000000001" customHeight="1">
      <c r="D1550" s="527" t="s">
        <v>107</v>
      </c>
      <c r="E1550" s="72" t="s">
        <v>2</v>
      </c>
      <c r="F1550" s="73"/>
      <c r="G1550" s="73"/>
      <c r="H1550" s="74"/>
      <c r="I1550" s="498" t="s">
        <v>108</v>
      </c>
      <c r="J1550" s="499"/>
      <c r="K1550" s="531" t="s">
        <v>103</v>
      </c>
      <c r="L1550" s="514" t="s">
        <v>80</v>
      </c>
      <c r="M1550" s="531" t="s">
        <v>109</v>
      </c>
      <c r="N1550" s="529" t="s">
        <v>105</v>
      </c>
    </row>
    <row r="1551" spans="2:14" ht="20.100000000000001" customHeight="1">
      <c r="D1551" s="528"/>
      <c r="E1551" s="512" t="s">
        <v>110</v>
      </c>
      <c r="F1551" s="513"/>
      <c r="G1551" s="512" t="s">
        <v>111</v>
      </c>
      <c r="H1551" s="513"/>
      <c r="I1551" s="500"/>
      <c r="J1551" s="501"/>
      <c r="K1551" s="532"/>
      <c r="L1551" s="515"/>
      <c r="M1551" s="532"/>
      <c r="N1551" s="530"/>
    </row>
    <row r="1552" spans="2:14" ht="21" customHeight="1">
      <c r="B1552" s="260" t="s">
        <v>329</v>
      </c>
      <c r="D1552" s="268" t="str">
        <f>IF(B1552=0,0,VLOOKUP(B1552,TRANS,3,FALSE))</f>
        <v>BRITA COMERCIAL</v>
      </c>
      <c r="E1552" s="504">
        <f>IF(B1552=0,0,VLOOKUP(B1552,TRANS,5,FALSE))</f>
        <v>0.33</v>
      </c>
      <c r="F1552" s="505"/>
      <c r="G1552" s="502"/>
      <c r="H1552" s="503"/>
      <c r="I1552" s="496">
        <f>IF(B1552=0,0,VLOOKUP(B1552,TRANS,6,FALSE))</f>
        <v>20</v>
      </c>
      <c r="J1552" s="497"/>
      <c r="K1552" s="262" t="str">
        <f>IF(B1552=0,0,VLOOKUP(B1552,TRANS,4,FALSE))</f>
        <v>T.KM</v>
      </c>
      <c r="L1552" s="55">
        <f>E1552*I1552</f>
        <v>6.6000000000000005</v>
      </c>
      <c r="M1552" s="432">
        <v>0.36</v>
      </c>
      <c r="N1552" s="278">
        <f>ROUND(L1552*M1552,2)</f>
        <v>2.38</v>
      </c>
    </row>
    <row r="1553" spans="2:14" ht="21" customHeight="1">
      <c r="B1553" s="260" t="s">
        <v>332</v>
      </c>
      <c r="D1553" s="268" t="str">
        <f>IF(B1553=0,0,VLOOKUP(B1553,TRANS,3,FALSE))</f>
        <v>CIMENTO PORTLAND CP-32</v>
      </c>
      <c r="E1553" s="504">
        <f>IF(B1553=0,0,VLOOKUP(B1553,TRANS,5,FALSE))</f>
        <v>0.24</v>
      </c>
      <c r="F1553" s="505"/>
      <c r="G1553" s="577"/>
      <c r="H1553" s="578"/>
      <c r="I1553" s="496">
        <f>IF(B1553=0,0,VLOOKUP(B1553,TRANS,6,FALSE))</f>
        <v>50</v>
      </c>
      <c r="J1553" s="497"/>
      <c r="K1553" s="262" t="str">
        <f>IF(B1553=0,0,VLOOKUP(B1553,TRANS,4,FALSE))</f>
        <v>T.KM</v>
      </c>
      <c r="L1553" s="55">
        <f>E1553*I1553</f>
        <v>12</v>
      </c>
      <c r="M1553" s="412">
        <v>7.8E-2</v>
      </c>
      <c r="N1553" s="317">
        <f>ROUND(L1553*M1553,2)</f>
        <v>0.94</v>
      </c>
    </row>
    <row r="1554" spans="2:14" ht="21" customHeight="1">
      <c r="B1554" s="260"/>
      <c r="D1554" s="268"/>
      <c r="E1554" s="504"/>
      <c r="F1554" s="505"/>
      <c r="G1554" s="502"/>
      <c r="H1554" s="503"/>
      <c r="I1554" s="533"/>
      <c r="J1554" s="534"/>
      <c r="K1554" s="66"/>
      <c r="L1554" s="67"/>
      <c r="M1554" s="70"/>
      <c r="N1554" s="317">
        <f>ROUND(L1554*M1554,2)</f>
        <v>0</v>
      </c>
    </row>
    <row r="1555" spans="2:14" ht="20.100000000000001" customHeight="1">
      <c r="D1555" s="98"/>
      <c r="E1555" s="99"/>
      <c r="F1555" s="44"/>
      <c r="G1555" s="65"/>
      <c r="H1555" s="44"/>
      <c r="I1555" s="48"/>
      <c r="J1555" s="46"/>
      <c r="K1555" s="46"/>
      <c r="L1555" s="48"/>
      <c r="M1555" s="71" t="s">
        <v>112</v>
      </c>
      <c r="N1555" s="270">
        <f>SUM(N1551:N1554)</f>
        <v>3.32</v>
      </c>
    </row>
    <row r="1556" spans="2:14" ht="3.95" customHeight="1">
      <c r="D1556" s="98"/>
      <c r="E1556" s="99"/>
      <c r="F1556" s="44"/>
      <c r="G1556" s="65"/>
      <c r="H1556" s="44"/>
      <c r="I1556" s="48"/>
      <c r="J1556" s="46"/>
      <c r="K1556" s="46"/>
      <c r="L1556" s="48"/>
      <c r="M1556" s="100"/>
      <c r="N1556" s="282"/>
    </row>
    <row r="1557" spans="2:14" ht="20.100000000000001" customHeight="1">
      <c r="D1557" s="98"/>
      <c r="E1557" s="99"/>
      <c r="F1557" s="44"/>
      <c r="G1557" s="65"/>
      <c r="H1557" s="44"/>
      <c r="I1557" s="48"/>
      <c r="J1557" s="46"/>
      <c r="K1557" s="565" t="s">
        <v>129</v>
      </c>
      <c r="L1557" s="566"/>
      <c r="M1557" s="567"/>
      <c r="N1557" s="279">
        <f>+N1541+N1548+N1555</f>
        <v>77.430000000000007</v>
      </c>
    </row>
    <row r="1558" spans="2:14" ht="20.100000000000001" customHeight="1">
      <c r="D1558" s="98"/>
      <c r="E1558" s="99"/>
      <c r="F1558" s="44"/>
      <c r="G1558" s="65"/>
      <c r="H1558" s="44"/>
      <c r="I1558" s="48"/>
      <c r="J1558" s="46"/>
      <c r="K1558" s="81" t="s">
        <v>115</v>
      </c>
      <c r="L1558" s="359">
        <f>DI</f>
        <v>0.26700000000000002</v>
      </c>
      <c r="M1558" s="83"/>
      <c r="N1558" s="279">
        <f>L1558*N1557</f>
        <v>20.673810000000003</v>
      </c>
    </row>
    <row r="1559" spans="2:14" ht="20.100000000000001" customHeight="1" thickBot="1">
      <c r="D1559" s="102"/>
      <c r="E1559" s="103"/>
      <c r="F1559" s="104"/>
      <c r="G1559" s="105"/>
      <c r="H1559" s="104"/>
      <c r="I1559" s="225"/>
      <c r="J1559" s="85"/>
      <c r="K1559" s="86" t="s">
        <v>130</v>
      </c>
      <c r="L1559" s="280"/>
      <c r="M1559" s="89"/>
      <c r="N1559" s="281">
        <f>N1557+N1558</f>
        <v>98.10381000000001</v>
      </c>
    </row>
    <row r="1560" spans="2:14" ht="3.75" customHeight="1" thickBot="1">
      <c r="D1560" s="98"/>
      <c r="E1560" s="99"/>
      <c r="F1560" s="44"/>
      <c r="G1560" s="65"/>
      <c r="H1560" s="44"/>
      <c r="I1560" s="48"/>
      <c r="J1560" s="46"/>
      <c r="K1560" s="46"/>
      <c r="L1560" s="48"/>
      <c r="M1560" s="100"/>
      <c r="N1560" s="282"/>
    </row>
    <row r="1561" spans="2:14" ht="20.100000000000001" customHeight="1">
      <c r="D1561" s="555" t="s">
        <v>131</v>
      </c>
      <c r="E1561" s="556"/>
      <c r="F1561" s="556"/>
      <c r="G1561" s="556"/>
      <c r="H1561" s="556"/>
      <c r="I1561" s="556"/>
      <c r="J1561" s="557"/>
      <c r="K1561" s="146" t="s">
        <v>103</v>
      </c>
      <c r="L1561" s="19" t="s">
        <v>80</v>
      </c>
      <c r="M1561" s="19" t="s">
        <v>104</v>
      </c>
      <c r="N1561" s="297" t="s">
        <v>105</v>
      </c>
    </row>
    <row r="1562" spans="2:14" ht="20.100000000000001" customHeight="1">
      <c r="B1562" s="260" t="s">
        <v>523</v>
      </c>
      <c r="D1562" s="264" t="str">
        <f>IF(B1562=0,0,VLOOKUP(B1562,MAT_BET,3,FALSE))</f>
        <v>AGENTE DE RECICLAGEM ARE-1 / ARE-250</v>
      </c>
      <c r="E1562" s="265"/>
      <c r="F1562" s="265"/>
      <c r="G1562" s="265"/>
      <c r="H1562" s="265"/>
      <c r="I1562" s="265"/>
      <c r="J1562" s="266"/>
      <c r="K1562" s="262" t="str">
        <f>IF(B1562=0,0,VLOOKUP(B1562,MAT_BET,4,FALSE))</f>
        <v>T</v>
      </c>
      <c r="L1562" s="411">
        <f>IF(B1562=0,0,VLOOKUP(B1562,MAT_BET,5,FALSE))</f>
        <v>1905.5142000000001</v>
      </c>
      <c r="M1562" s="434">
        <v>8.8999999999999996E-2</v>
      </c>
      <c r="N1562" s="273">
        <f>ROUND(L1562*M1562,2)</f>
        <v>169.59</v>
      </c>
    </row>
    <row r="1563" spans="2:14" ht="20.100000000000001" customHeight="1">
      <c r="D1563" s="114"/>
      <c r="E1563" s="59"/>
      <c r="F1563" s="59"/>
      <c r="G1563" s="59"/>
      <c r="H1563" s="59"/>
      <c r="I1563" s="91"/>
      <c r="J1563" s="115"/>
      <c r="K1563" s="81" t="s">
        <v>115</v>
      </c>
      <c r="L1563" s="359">
        <f>DI</f>
        <v>0.26700000000000002</v>
      </c>
      <c r="M1563" s="83"/>
      <c r="N1563" s="279">
        <f>(N1562)*L1563</f>
        <v>45.280530000000006</v>
      </c>
    </row>
    <row r="1564" spans="2:14" ht="20.100000000000001" customHeight="1">
      <c r="D1564" s="76"/>
      <c r="E1564" s="77"/>
      <c r="F1564" s="77"/>
      <c r="G1564" s="77"/>
      <c r="H1564" s="77"/>
      <c r="I1564" s="156"/>
      <c r="J1564" s="116"/>
      <c r="K1564" s="81" t="s">
        <v>2</v>
      </c>
      <c r="L1564" s="289"/>
      <c r="M1564" s="83"/>
      <c r="N1564" s="279">
        <f>SUM(N1562:N1563)</f>
        <v>214.87053</v>
      </c>
    </row>
    <row r="1565" spans="2:14" ht="20.100000000000001" customHeight="1">
      <c r="D1565" s="117"/>
      <c r="E1565" s="118"/>
      <c r="F1565" s="118"/>
      <c r="G1565" s="118"/>
      <c r="H1565" s="118"/>
      <c r="I1565" s="94"/>
      <c r="J1565" s="119"/>
      <c r="K1565" s="113" t="s">
        <v>103</v>
      </c>
      <c r="L1565" s="34" t="s">
        <v>80</v>
      </c>
      <c r="M1565" s="34" t="s">
        <v>104</v>
      </c>
      <c r="N1565" s="288" t="s">
        <v>105</v>
      </c>
    </row>
    <row r="1566" spans="2:14" ht="20.100000000000001" customHeight="1">
      <c r="B1566" s="260" t="s">
        <v>524</v>
      </c>
      <c r="D1566" s="264" t="str">
        <f>IF(B1566=0,0,VLOOKUP(B1566,MAT_BET,3,FALSE))</f>
        <v>TRANSPORTE AGENTE DE RECICLAGEM ARE-1 / ARE-250</v>
      </c>
      <c r="E1566" s="265"/>
      <c r="F1566" s="265"/>
      <c r="G1566" s="265"/>
      <c r="H1566" s="265"/>
      <c r="I1566" s="265"/>
      <c r="J1566" s="266"/>
      <c r="K1566" s="262" t="str">
        <f>IF(B1566=0,0,VLOOKUP(B1566,MAT_BET,4,FALSE))</f>
        <v>T</v>
      </c>
      <c r="L1566" s="411">
        <f>IF(B1566=0,0,VLOOKUP(B1566,MAT_BET,5,FALSE))</f>
        <v>230.69</v>
      </c>
      <c r="M1566" s="434">
        <v>8.8999999999999996E-2</v>
      </c>
      <c r="N1566" s="278">
        <f>(L1566*M1566)</f>
        <v>20.531409999999997</v>
      </c>
    </row>
    <row r="1567" spans="2:14" ht="20.100000000000001" customHeight="1">
      <c r="D1567" s="114"/>
      <c r="E1567" s="59"/>
      <c r="F1567" s="59"/>
      <c r="G1567" s="59"/>
      <c r="H1567" s="59"/>
      <c r="I1567" s="91"/>
      <c r="J1567" s="115"/>
      <c r="K1567" s="81" t="s">
        <v>115</v>
      </c>
      <c r="L1567" s="359">
        <f>DI</f>
        <v>0.26700000000000002</v>
      </c>
      <c r="M1567" s="83"/>
      <c r="N1567" s="279">
        <f>(N1566)*L1567</f>
        <v>5.4818864700000001</v>
      </c>
    </row>
    <row r="1568" spans="2:14" ht="20.100000000000001" customHeight="1" thickBot="1">
      <c r="D1568" s="76"/>
      <c r="E1568" s="77"/>
      <c r="F1568" s="77"/>
      <c r="G1568" s="77"/>
      <c r="H1568" s="77"/>
      <c r="I1568" s="156"/>
      <c r="J1568" s="116"/>
      <c r="K1568" s="97" t="s">
        <v>148</v>
      </c>
      <c r="L1568" s="290"/>
      <c r="M1568" s="120"/>
      <c r="N1568" s="291">
        <f>SUM(N1566:N1567)</f>
        <v>26.013296469999997</v>
      </c>
    </row>
    <row r="1569" spans="2:15" ht="20.100000000000001" customHeight="1" thickBot="1">
      <c r="D1569" s="121"/>
      <c r="E1569" s="122"/>
      <c r="F1569" s="122"/>
      <c r="G1569" s="123"/>
      <c r="H1569" s="122"/>
      <c r="I1569" s="227"/>
      <c r="J1569" s="124"/>
      <c r="K1569" s="549" t="s">
        <v>134</v>
      </c>
      <c r="L1569" s="549"/>
      <c r="M1569" s="550"/>
      <c r="N1569" s="292">
        <f>N1564+N1568</f>
        <v>240.88382647</v>
      </c>
    </row>
    <row r="1570" spans="2:15" ht="3.95" customHeight="1" thickBot="1">
      <c r="D1570" s="43"/>
      <c r="E1570" s="44"/>
      <c r="F1570" s="44"/>
      <c r="G1570" s="65"/>
      <c r="H1570" s="44"/>
      <c r="I1570" s="48"/>
      <c r="J1570" s="46"/>
      <c r="K1570" s="125"/>
      <c r="L1570" s="293"/>
      <c r="M1570" s="125"/>
      <c r="N1570" s="282"/>
    </row>
    <row r="1571" spans="2:15" ht="20.100000000000001" customHeight="1">
      <c r="D1571" s="126"/>
      <c r="E1571" s="108"/>
      <c r="F1571" s="108"/>
      <c r="G1571" s="109"/>
      <c r="H1571" s="108"/>
      <c r="I1571" s="127" t="s">
        <v>114</v>
      </c>
      <c r="J1571" s="128"/>
      <c r="K1571" s="128"/>
      <c r="L1571" s="354">
        <v>0.02</v>
      </c>
      <c r="M1571" s="129"/>
      <c r="N1571" s="294">
        <f>(N1557+N1562+N1566)*L1571</f>
        <v>5.3510282000000009</v>
      </c>
    </row>
    <row r="1572" spans="2:15" ht="20.100000000000001" customHeight="1" thickBot="1">
      <c r="D1572" s="130"/>
      <c r="E1572" s="104"/>
      <c r="F1572" s="104"/>
      <c r="G1572" s="105"/>
      <c r="H1572" s="104"/>
      <c r="I1572" s="547" t="s">
        <v>136</v>
      </c>
      <c r="J1572" s="548"/>
      <c r="K1572" s="548"/>
      <c r="L1572" s="548"/>
      <c r="M1572" s="131"/>
      <c r="N1572" s="295">
        <f>N1557+N1562+N1566+N1571</f>
        <v>272.90243820000001</v>
      </c>
    </row>
    <row r="1573" spans="2:15" ht="3.95" customHeight="1">
      <c r="D1573" s="98"/>
      <c r="E1573" s="99"/>
      <c r="F1573" s="44"/>
      <c r="G1573" s="65"/>
      <c r="H1573" s="44"/>
      <c r="I1573" s="355"/>
      <c r="J1573" s="355"/>
      <c r="K1573" s="355"/>
      <c r="L1573" s="355"/>
      <c r="M1573" s="100"/>
      <c r="N1573" s="282"/>
    </row>
    <row r="1574" spans="2:15" ht="20.100000000000001" customHeight="1" thickBot="1">
      <c r="D1574" s="137"/>
      <c r="E1574" s="138"/>
      <c r="F1574" s="138"/>
      <c r="G1574" s="138"/>
      <c r="H1574" s="138"/>
      <c r="I1574" s="356" t="s">
        <v>138</v>
      </c>
      <c r="J1574" s="357"/>
      <c r="K1574" s="357"/>
      <c r="L1574" s="358">
        <f>DI</f>
        <v>0.26700000000000002</v>
      </c>
      <c r="M1574" s="140"/>
      <c r="N1574" s="295">
        <f>(N1572*L1563)+N1572</f>
        <v>345.76738919939999</v>
      </c>
    </row>
    <row r="1575" spans="2:15" ht="20.100000000000001" customHeight="1">
      <c r="D1575" s="161"/>
      <c r="E1575" s="161"/>
      <c r="F1575" s="161"/>
      <c r="G1575" s="161"/>
      <c r="H1575" s="161"/>
      <c r="I1575" s="163"/>
      <c r="J1575" s="154"/>
      <c r="K1575" s="168"/>
      <c r="L1575" s="313"/>
      <c r="M1575" s="314"/>
      <c r="N1575" s="315"/>
    </row>
    <row r="1576" spans="2:15" ht="20.100000000000001" customHeight="1">
      <c r="D1576" s="161"/>
      <c r="E1576" s="161"/>
      <c r="F1576" s="161"/>
      <c r="G1576" s="161"/>
      <c r="H1576" s="161"/>
      <c r="I1576" s="163"/>
      <c r="J1576" s="154"/>
      <c r="K1576" s="168"/>
      <c r="L1576" s="313"/>
      <c r="M1576" s="314"/>
      <c r="N1576" s="315"/>
    </row>
    <row r="1577" spans="2:15" s="192" customFormat="1" ht="19.5" customHeight="1" thickBot="1">
      <c r="B1577" s="198"/>
      <c r="C1577" s="198"/>
      <c r="D1577" s="193"/>
      <c r="E1577" s="193"/>
      <c r="F1577" s="193"/>
      <c r="G1577" s="193"/>
      <c r="H1577" s="194"/>
      <c r="I1577" s="242"/>
      <c r="J1577" s="193"/>
      <c r="K1577" s="193"/>
      <c r="L1577" s="242"/>
      <c r="M1577" s="193"/>
      <c r="N1577" s="242"/>
      <c r="O1577" s="390"/>
    </row>
    <row r="1578" spans="2:15" ht="20.100000000000001" customHeight="1">
      <c r="B1578" s="197" t="s">
        <v>214</v>
      </c>
      <c r="D1578" s="520"/>
      <c r="E1578" s="521"/>
      <c r="F1578" s="524" t="s">
        <v>74</v>
      </c>
      <c r="G1578" s="525"/>
      <c r="H1578" s="525"/>
      <c r="I1578" s="525"/>
      <c r="J1578" s="525"/>
      <c r="K1578" s="525"/>
      <c r="L1578" s="526"/>
      <c r="M1578" s="19" t="s">
        <v>75</v>
      </c>
      <c r="N1578" s="20" t="s">
        <v>76</v>
      </c>
    </row>
    <row r="1579" spans="2:15" ht="20.100000000000001" customHeight="1">
      <c r="D1579" s="522"/>
      <c r="E1579" s="523"/>
      <c r="F1579" s="512" t="str">
        <f>VLOOKUP(B1578,Resumo_Composições,3,FALSE)</f>
        <v>CAMADA DRENANTE PARA FUNDAÇÃO DE ATERRO</v>
      </c>
      <c r="G1579" s="519"/>
      <c r="H1579" s="519"/>
      <c r="I1579" s="519"/>
      <c r="J1579" s="519"/>
      <c r="K1579" s="519"/>
      <c r="L1579" s="513"/>
      <c r="M1579" s="24" t="str">
        <f>VLOOKUP(B1578,Resumo_Composições,4,FALSE)</f>
        <v>M3</v>
      </c>
      <c r="N1579" s="25">
        <f>DATA</f>
        <v>41214</v>
      </c>
    </row>
    <row r="1580" spans="2:15" ht="20.100000000000001" customHeight="1">
      <c r="D1580" s="26" t="s">
        <v>77</v>
      </c>
      <c r="E1580" s="27"/>
      <c r="F1580" s="27"/>
      <c r="G1580" s="27"/>
      <c r="H1580" s="28"/>
      <c r="I1580" s="214" t="s">
        <v>78</v>
      </c>
      <c r="J1580" s="509" t="s">
        <v>79</v>
      </c>
      <c r="K1580" s="511"/>
      <c r="L1580" s="535" t="s">
        <v>80</v>
      </c>
      <c r="M1580" s="536"/>
      <c r="N1580" s="516" t="s">
        <v>81</v>
      </c>
    </row>
    <row r="1581" spans="2:15" ht="20.100000000000001" customHeight="1">
      <c r="D1581" s="31"/>
      <c r="E1581" s="32"/>
      <c r="F1581" s="32"/>
      <c r="G1581" s="32"/>
      <c r="H1581" s="33"/>
      <c r="I1581" s="34"/>
      <c r="J1581" s="51" t="s">
        <v>82</v>
      </c>
      <c r="K1581" s="51" t="s">
        <v>83</v>
      </c>
      <c r="L1581" s="51" t="s">
        <v>82</v>
      </c>
      <c r="M1581" s="51" t="s">
        <v>84</v>
      </c>
      <c r="N1581" s="517"/>
    </row>
    <row r="1582" spans="2:15" ht="20.100000000000001" customHeight="1">
      <c r="B1582" s="260" t="s">
        <v>415</v>
      </c>
      <c r="D1582" s="264" t="str">
        <f>IF(B1582=0,0,VLOOKUP(B1582,EQUIP,3,FALSE))</f>
        <v>TRATOR DE ESTEIRAS - COM LÂMINA (104 KW)</v>
      </c>
      <c r="E1582" s="91"/>
      <c r="F1582" s="91"/>
      <c r="G1582" s="91"/>
      <c r="H1582" s="92"/>
      <c r="I1582" s="215">
        <v>1</v>
      </c>
      <c r="J1582" s="38">
        <v>1</v>
      </c>
      <c r="K1582" s="38">
        <v>0</v>
      </c>
      <c r="L1582" s="436">
        <f>IF(B1582=0,0,VLOOKUP(B1582,EQUIP,6,FALSE))</f>
        <v>334.66</v>
      </c>
      <c r="M1582" s="436">
        <f>IF(B1582=0,0,VLOOKUP(B1582,EQUIP,7,FALSE))</f>
        <v>22.39</v>
      </c>
      <c r="N1582" s="319">
        <f>ROUND(J1582*L1582+K1582*M1582,2)</f>
        <v>334.66</v>
      </c>
    </row>
    <row r="1583" spans="2:15" ht="20.100000000000001" customHeight="1">
      <c r="B1583" s="260" t="s">
        <v>265</v>
      </c>
      <c r="D1583" s="264" t="str">
        <f>IF(B1583=0,0,VLOOKUP(B1583,EQUIP,3,FALSE))</f>
        <v>CAMINHÃO TANQUE 10.000 l</v>
      </c>
      <c r="E1583" s="36"/>
      <c r="F1583" s="36"/>
      <c r="G1583" s="36"/>
      <c r="H1583" s="37"/>
      <c r="I1583" s="215">
        <v>1</v>
      </c>
      <c r="J1583" s="39">
        <v>0.8</v>
      </c>
      <c r="K1583" s="38">
        <v>0.2</v>
      </c>
      <c r="L1583" s="436">
        <f>IF(B1583=0,0,VLOOKUP(B1583,EQUIP,6,FALSE))</f>
        <v>126.87</v>
      </c>
      <c r="M1583" s="436">
        <f>IF(B1583=0,0,VLOOKUP(B1583,EQUIP,7,FALSE))</f>
        <v>20.47</v>
      </c>
      <c r="N1583" s="319">
        <f>ROUND(J1583*L1583+K1583*M1583,2)</f>
        <v>105.59</v>
      </c>
    </row>
    <row r="1584" spans="2:15" ht="20.100000000000001" customHeight="1">
      <c r="B1584" s="260" t="s">
        <v>281</v>
      </c>
      <c r="D1584" s="264" t="str">
        <f>IF(B1584=0,0,VLOOKUP(B1584,EQUIP,3,FALSE))</f>
        <v>MOTONIVELADORA - 93 KW</v>
      </c>
      <c r="E1584" s="91"/>
      <c r="F1584" s="91"/>
      <c r="G1584" s="91"/>
      <c r="H1584" s="92"/>
      <c r="I1584" s="215">
        <v>1</v>
      </c>
      <c r="J1584" s="38">
        <v>0.4</v>
      </c>
      <c r="K1584" s="38">
        <v>0.6</v>
      </c>
      <c r="L1584" s="436">
        <f>IF(B1584=0,0,VLOOKUP(B1584,EQUIP,6,FALSE))</f>
        <v>153.06</v>
      </c>
      <c r="M1584" s="436">
        <f>IF(B1584=0,0,VLOOKUP(B1584,EQUIP,7,FALSE))</f>
        <v>22.39</v>
      </c>
      <c r="N1584" s="319">
        <f>ROUND(J1584*L1584+K1584*M1584,2)</f>
        <v>74.66</v>
      </c>
    </row>
    <row r="1585" spans="2:14" ht="20.100000000000001" customHeight="1">
      <c r="B1585" s="260"/>
      <c r="D1585" s="264">
        <f>IF(B1585=0,0,VLOOKUP(B1585,EQUIP,3,FALSE))</f>
        <v>0</v>
      </c>
      <c r="E1585" s="36"/>
      <c r="F1585" s="36"/>
      <c r="G1585" s="36"/>
      <c r="H1585" s="37"/>
      <c r="I1585" s="55"/>
      <c r="J1585" s="38"/>
      <c r="K1585" s="38"/>
      <c r="L1585" s="318">
        <f>IF(B1585=0,0,VLOOKUP(B1585,EQUIP,6,FALSE))</f>
        <v>0</v>
      </c>
      <c r="M1585" s="318">
        <f>IF(B1585=0,0,VLOOKUP(B1585,EQUIP,7,FALSE))</f>
        <v>0</v>
      </c>
      <c r="N1585" s="319">
        <f>ROUND(J1585*L1585+K1585*M1585,2)</f>
        <v>0</v>
      </c>
    </row>
    <row r="1586" spans="2:14" ht="20.100000000000001" customHeight="1">
      <c r="B1586" s="260"/>
      <c r="D1586" s="264">
        <f>IF(B1586=0,0,VLOOKUP(B1586,EQUIP,3,FALSE))</f>
        <v>0</v>
      </c>
      <c r="E1586" s="36"/>
      <c r="F1586" s="36"/>
      <c r="G1586" s="36"/>
      <c r="H1586" s="37"/>
      <c r="I1586" s="215"/>
      <c r="J1586" s="38"/>
      <c r="K1586" s="38"/>
      <c r="L1586" s="318">
        <f>IF(B1586=0,0,VLOOKUP(B1586,EQUIP,6,FALSE))</f>
        <v>0</v>
      </c>
      <c r="M1586" s="318">
        <f>IF(B1586=0,0,VLOOKUP(B1586,EQUIP,7,FALSE))</f>
        <v>0</v>
      </c>
      <c r="N1586" s="319">
        <f>ROUND(J1586*L1586+K1586*M1586,2)</f>
        <v>0</v>
      </c>
    </row>
    <row r="1587" spans="2:14" ht="20.100000000000001" customHeight="1">
      <c r="D1587" s="155"/>
      <c r="E1587" s="156"/>
      <c r="F1587" s="156"/>
      <c r="G1587" s="156"/>
      <c r="H1587" s="156"/>
      <c r="I1587" s="235"/>
      <c r="J1587" s="157"/>
      <c r="K1587" s="157"/>
      <c r="L1587" s="216"/>
      <c r="M1587" s="42" t="s">
        <v>89</v>
      </c>
      <c r="N1587" s="270">
        <f>SUM(N1582:N1586)</f>
        <v>514.91</v>
      </c>
    </row>
    <row r="1588" spans="2:14" ht="3.95" customHeight="1">
      <c r="D1588" s="158"/>
      <c r="E1588" s="159"/>
      <c r="F1588" s="159"/>
      <c r="G1588" s="160"/>
      <c r="H1588" s="159"/>
      <c r="I1588" s="236"/>
      <c r="J1588" s="161"/>
      <c r="K1588" s="162"/>
      <c r="L1588" s="163"/>
      <c r="M1588" s="163"/>
      <c r="N1588" s="300"/>
    </row>
    <row r="1589" spans="2:14" ht="20.100000000000001" customHeight="1">
      <c r="D1589" s="518" t="s">
        <v>90</v>
      </c>
      <c r="E1589" s="519"/>
      <c r="F1589" s="519"/>
      <c r="G1589" s="519"/>
      <c r="H1589" s="519"/>
      <c r="I1589" s="519"/>
      <c r="J1589" s="513"/>
      <c r="K1589" s="50" t="s">
        <v>91</v>
      </c>
      <c r="L1589" s="51" t="s">
        <v>92</v>
      </c>
      <c r="M1589" s="51" t="s">
        <v>93</v>
      </c>
      <c r="N1589" s="272" t="s">
        <v>94</v>
      </c>
    </row>
    <row r="1590" spans="2:14" ht="20.100000000000001" customHeight="1">
      <c r="B1590" s="260" t="s">
        <v>247</v>
      </c>
      <c r="D1590" s="264" t="str">
        <f>IF(B1590=0,0,VLOOKUP(B1590,MO,2,FALSE))</f>
        <v>ENCARREGADO DE TURMA</v>
      </c>
      <c r="E1590" s="53"/>
      <c r="F1590" s="53"/>
      <c r="G1590" s="53"/>
      <c r="H1590" s="53"/>
      <c r="I1590" s="36"/>
      <c r="J1590" s="54"/>
      <c r="K1590" s="152"/>
      <c r="L1590" s="164">
        <v>1</v>
      </c>
      <c r="M1590" s="263">
        <f>IF(B1590=0,0,VLOOKUP(B1590,MO,6,FALSE))</f>
        <v>27</v>
      </c>
      <c r="N1590" s="316">
        <f>ROUND(L1590*M1590,2)</f>
        <v>27</v>
      </c>
    </row>
    <row r="1591" spans="2:14" ht="20.100000000000001" customHeight="1">
      <c r="B1591" s="260" t="s">
        <v>248</v>
      </c>
      <c r="D1591" s="264" t="str">
        <f>IF(B1591=0,0,VLOOKUP(B1591,MO,2,FALSE))</f>
        <v>SERVENTE</v>
      </c>
      <c r="E1591" s="53"/>
      <c r="F1591" s="53"/>
      <c r="G1591" s="53"/>
      <c r="H1591" s="53"/>
      <c r="I1591" s="36"/>
      <c r="J1591" s="54"/>
      <c r="K1591" s="152"/>
      <c r="L1591" s="164">
        <v>8</v>
      </c>
      <c r="M1591" s="263">
        <f>IF(B1591=0,0,VLOOKUP(B1591,MO,6,FALSE))</f>
        <v>7.9973000000000001</v>
      </c>
      <c r="N1591" s="316">
        <f>ROUND(L1591*M1591,2)</f>
        <v>63.98</v>
      </c>
    </row>
    <row r="1592" spans="2:14" ht="20.100000000000001" customHeight="1">
      <c r="B1592" s="260"/>
      <c r="D1592" s="52" t="s">
        <v>122</v>
      </c>
      <c r="E1592" s="53"/>
      <c r="F1592" s="53"/>
      <c r="G1592" s="53"/>
      <c r="H1592" s="53"/>
      <c r="I1592" s="36"/>
      <c r="J1592" s="54"/>
      <c r="K1592" s="165">
        <v>0.05</v>
      </c>
      <c r="L1592" s="166">
        <f>N1590+N1591</f>
        <v>90.97999999999999</v>
      </c>
      <c r="M1592" s="164"/>
      <c r="N1592" s="301">
        <f>ROUND(L1592*K1592,2)</f>
        <v>4.55</v>
      </c>
    </row>
    <row r="1593" spans="2:14" ht="20.100000000000001" customHeight="1">
      <c r="D1593" s="167"/>
      <c r="E1593" s="59"/>
      <c r="F1593" s="168"/>
      <c r="G1593" s="168"/>
      <c r="H1593" s="159"/>
      <c r="I1593" s="236"/>
      <c r="J1593" s="169"/>
      <c r="K1593" s="162"/>
      <c r="L1593" s="163"/>
      <c r="M1593" s="62" t="s">
        <v>98</v>
      </c>
      <c r="N1593" s="302">
        <f>SUM(N1590:N1592)</f>
        <v>95.529999999999987</v>
      </c>
    </row>
    <row r="1594" spans="2:14" ht="3.95" customHeight="1">
      <c r="D1594" s="158"/>
      <c r="E1594" s="159"/>
      <c r="F1594" s="159"/>
      <c r="G1594" s="159"/>
      <c r="H1594" s="159"/>
      <c r="I1594" s="236"/>
      <c r="J1594" s="169"/>
      <c r="K1594" s="162"/>
      <c r="L1594" s="163"/>
      <c r="M1594" s="163"/>
      <c r="N1594" s="300"/>
    </row>
    <row r="1595" spans="2:14" ht="20.100000000000001" customHeight="1">
      <c r="D1595" s="170"/>
      <c r="E1595" s="168"/>
      <c r="F1595" s="168"/>
      <c r="G1595" s="168"/>
      <c r="H1595" s="171"/>
      <c r="I1595" s="237"/>
      <c r="J1595" s="171"/>
      <c r="K1595" s="509" t="s">
        <v>99</v>
      </c>
      <c r="L1595" s="510"/>
      <c r="M1595" s="511"/>
      <c r="N1595" s="303">
        <f>+N1587+N1593</f>
        <v>610.43999999999994</v>
      </c>
    </row>
    <row r="1596" spans="2:14" ht="3.95" customHeight="1">
      <c r="D1596" s="172"/>
      <c r="E1596" s="159"/>
      <c r="F1596" s="159"/>
      <c r="G1596" s="160"/>
      <c r="H1596" s="159"/>
      <c r="I1596" s="236"/>
      <c r="J1596" s="161"/>
      <c r="K1596" s="162"/>
      <c r="L1596" s="163"/>
      <c r="M1596" s="163"/>
      <c r="N1596" s="300"/>
    </row>
    <row r="1597" spans="2:14" ht="20.100000000000001" customHeight="1">
      <c r="D1597" s="167"/>
      <c r="E1597" s="509" t="s">
        <v>100</v>
      </c>
      <c r="F1597" s="510"/>
      <c r="G1597" s="510"/>
      <c r="H1597" s="511"/>
      <c r="I1597" s="238">
        <v>90</v>
      </c>
      <c r="J1597" s="163"/>
      <c r="K1597" s="506" t="s">
        <v>101</v>
      </c>
      <c r="L1597" s="507"/>
      <c r="M1597" s="508"/>
      <c r="N1597" s="304">
        <f>ROUND(N1595/I1597,2)</f>
        <v>6.78</v>
      </c>
    </row>
    <row r="1598" spans="2:14" ht="3.95" customHeight="1">
      <c r="D1598" s="158"/>
      <c r="E1598" s="159"/>
      <c r="F1598" s="159"/>
      <c r="G1598" s="173"/>
      <c r="H1598" s="159"/>
      <c r="I1598" s="163"/>
      <c r="J1598" s="161"/>
      <c r="K1598" s="161"/>
      <c r="L1598" s="163"/>
      <c r="M1598" s="161"/>
      <c r="N1598" s="305"/>
    </row>
    <row r="1599" spans="2:14" ht="20.100000000000001" customHeight="1">
      <c r="D1599" s="49" t="s">
        <v>102</v>
      </c>
      <c r="E1599" s="22"/>
      <c r="F1599" s="22"/>
      <c r="G1599" s="22"/>
      <c r="H1599" s="22"/>
      <c r="I1599" s="141"/>
      <c r="J1599" s="23"/>
      <c r="K1599" s="50" t="s">
        <v>103</v>
      </c>
      <c r="L1599" s="51" t="s">
        <v>80</v>
      </c>
      <c r="M1599" s="51" t="s">
        <v>104</v>
      </c>
      <c r="N1599" s="272" t="s">
        <v>105</v>
      </c>
    </row>
    <row r="1600" spans="2:14" ht="20.100000000000001" customHeight="1">
      <c r="B1600" s="260" t="s">
        <v>304</v>
      </c>
      <c r="D1600" s="52" t="str">
        <f>IF(B1600=0,0,VLOOKUP(B1600,MAT,3,FALSE))</f>
        <v>AREIA COMERCIAL</v>
      </c>
      <c r="E1600" s="53"/>
      <c r="F1600" s="53"/>
      <c r="G1600" s="53"/>
      <c r="H1600" s="53"/>
      <c r="I1600" s="36"/>
      <c r="J1600" s="54"/>
      <c r="K1600" s="66" t="str">
        <f>IF(B1600=0,0,VLOOKUP(B1600,MAT,5,FALSE))</f>
        <v>M3</v>
      </c>
      <c r="L1600" s="55">
        <f>IF(B1600=0,0,VLOOKUP(B1600,MAT,6,FALSE))</f>
        <v>23.28</v>
      </c>
      <c r="M1600" s="321">
        <v>1.1499999999999999</v>
      </c>
      <c r="N1600" s="301">
        <f>ROUND(L1600*M1600,2)</f>
        <v>26.77</v>
      </c>
    </row>
    <row r="1601" spans="2:15" ht="20.100000000000001" customHeight="1">
      <c r="B1601" s="260"/>
      <c r="D1601" s="52"/>
      <c r="E1601" s="53"/>
      <c r="F1601" s="53"/>
      <c r="G1601" s="53"/>
      <c r="H1601" s="53"/>
      <c r="I1601" s="36"/>
      <c r="J1601" s="54"/>
      <c r="K1601" s="66"/>
      <c r="L1601" s="67"/>
      <c r="M1601" s="174"/>
      <c r="N1601" s="316">
        <f>ROUND(L1601*M1601,2)</f>
        <v>0</v>
      </c>
    </row>
    <row r="1602" spans="2:15" ht="20.100000000000001" customHeight="1">
      <c r="D1602" s="158"/>
      <c r="E1602" s="159"/>
      <c r="F1602" s="159"/>
      <c r="G1602" s="173"/>
      <c r="H1602" s="159"/>
      <c r="I1602" s="163"/>
      <c r="J1602" s="161"/>
      <c r="K1602" s="161"/>
      <c r="L1602" s="163"/>
      <c r="M1602" s="71" t="s">
        <v>106</v>
      </c>
      <c r="N1602" s="302">
        <f>SUM(N1600:N1601)</f>
        <v>26.77</v>
      </c>
    </row>
    <row r="1603" spans="2:15" ht="20.100000000000001" customHeight="1">
      <c r="D1603" s="158"/>
      <c r="E1603" s="159"/>
      <c r="F1603" s="159"/>
      <c r="G1603" s="173"/>
      <c r="H1603" s="159"/>
      <c r="I1603" s="163"/>
      <c r="J1603" s="161"/>
      <c r="K1603" s="161"/>
      <c r="L1603" s="163"/>
      <c r="M1603" s="161"/>
      <c r="N1603" s="305"/>
    </row>
    <row r="1604" spans="2:15" ht="20.100000000000001" customHeight="1">
      <c r="D1604" s="527" t="s">
        <v>107</v>
      </c>
      <c r="E1604" s="72" t="s">
        <v>2</v>
      </c>
      <c r="F1604" s="73"/>
      <c r="G1604" s="73"/>
      <c r="H1604" s="74"/>
      <c r="I1604" s="498" t="s">
        <v>108</v>
      </c>
      <c r="J1604" s="499"/>
      <c r="K1604" s="531" t="s">
        <v>103</v>
      </c>
      <c r="L1604" s="514" t="s">
        <v>80</v>
      </c>
      <c r="M1604" s="531" t="s">
        <v>109</v>
      </c>
      <c r="N1604" s="529" t="s">
        <v>105</v>
      </c>
    </row>
    <row r="1605" spans="2:15" ht="20.100000000000001" customHeight="1">
      <c r="D1605" s="528"/>
      <c r="E1605" s="512" t="s">
        <v>110</v>
      </c>
      <c r="F1605" s="513"/>
      <c r="G1605" s="512" t="s">
        <v>111</v>
      </c>
      <c r="H1605" s="513"/>
      <c r="I1605" s="500"/>
      <c r="J1605" s="501"/>
      <c r="K1605" s="532"/>
      <c r="L1605" s="515"/>
      <c r="M1605" s="532"/>
      <c r="N1605" s="530"/>
    </row>
    <row r="1606" spans="2:15" ht="18.75" customHeight="1">
      <c r="B1606" s="260" t="s">
        <v>341</v>
      </c>
      <c r="D1606" s="268" t="str">
        <f>IF(B1606=0,0,VLOOKUP(B1606,TRANS,3,FALSE))</f>
        <v>TRANSP. COMERCIAL DE AREIA</v>
      </c>
      <c r="E1606" s="504">
        <f>IF(B1606=0,0,VLOOKUP(B1606,TRANS,5,FALSE))</f>
        <v>0.33</v>
      </c>
      <c r="F1606" s="505"/>
      <c r="G1606" s="502"/>
      <c r="H1606" s="503"/>
      <c r="I1606" s="496">
        <f>IF(B1606=0,0,VLOOKUP(B1606,TRANS,6,FALSE))</f>
        <v>20</v>
      </c>
      <c r="J1606" s="497"/>
      <c r="K1606" s="262" t="str">
        <f>IF(B1606=0,0,VLOOKUP(B1606,TRANS,4,FALSE))</f>
        <v>T.KM</v>
      </c>
      <c r="L1606" s="411">
        <f>E1606*I1606</f>
        <v>6.6000000000000005</v>
      </c>
      <c r="M1606" s="432">
        <v>1</v>
      </c>
      <c r="N1606" s="278">
        <f>ROUND(L1606*M1606,2)</f>
        <v>6.6</v>
      </c>
    </row>
    <row r="1607" spans="2:15" ht="21" customHeight="1">
      <c r="B1607" s="260"/>
      <c r="D1607" s="268">
        <f>IF(B1607=0,0,VLOOKUP(B1607,TRANS,3,FALSE))</f>
        <v>0</v>
      </c>
      <c r="E1607" s="581">
        <f>IF(B1607=0,0,VLOOKUP(B1607,TRANS,5,FALSE))</f>
        <v>0</v>
      </c>
      <c r="F1607" s="582"/>
      <c r="G1607" s="577"/>
      <c r="H1607" s="578"/>
      <c r="I1607" s="581"/>
      <c r="J1607" s="582"/>
      <c r="K1607" s="262">
        <f>IF(B1607=0,0,VLOOKUP(B1607,TRANS,4,FALSE))</f>
        <v>0</v>
      </c>
      <c r="L1607" s="267">
        <f>E1607*I1607</f>
        <v>0</v>
      </c>
      <c r="M1607" s="267"/>
      <c r="N1607" s="317">
        <f>ROUND(L1607*M1607,2)</f>
        <v>0</v>
      </c>
    </row>
    <row r="1608" spans="2:15" ht="21" customHeight="1">
      <c r="B1608" s="260"/>
      <c r="D1608" s="268"/>
      <c r="E1608" s="504"/>
      <c r="F1608" s="505"/>
      <c r="G1608" s="502"/>
      <c r="H1608" s="503"/>
      <c r="I1608" s="533"/>
      <c r="J1608" s="534"/>
      <c r="K1608" s="66"/>
      <c r="L1608" s="67"/>
      <c r="M1608" s="70"/>
      <c r="N1608" s="317">
        <f>ROUND(L1608*M1608,2)</f>
        <v>0</v>
      </c>
    </row>
    <row r="1609" spans="2:15" ht="20.100000000000001" customHeight="1">
      <c r="D1609" s="175"/>
      <c r="E1609" s="176"/>
      <c r="F1609" s="159"/>
      <c r="G1609" s="173"/>
      <c r="H1609" s="159"/>
      <c r="I1609" s="163"/>
      <c r="J1609" s="161"/>
      <c r="K1609" s="161"/>
      <c r="L1609" s="163"/>
      <c r="M1609" s="71" t="s">
        <v>112</v>
      </c>
      <c r="N1609" s="302">
        <f>SUM(N1606:N1608)</f>
        <v>6.6</v>
      </c>
    </row>
    <row r="1610" spans="2:15" ht="3.95" customHeight="1" thickBot="1">
      <c r="D1610" s="175"/>
      <c r="E1610" s="159"/>
      <c r="F1610" s="173"/>
      <c r="G1610" s="159"/>
      <c r="H1610" s="161"/>
      <c r="I1610" s="163"/>
      <c r="J1610" s="161"/>
      <c r="K1610" s="161"/>
      <c r="L1610" s="163"/>
      <c r="M1610" s="161"/>
      <c r="N1610" s="305"/>
    </row>
    <row r="1611" spans="2:15" ht="20.100000000000001" customHeight="1">
      <c r="D1611" s="177"/>
      <c r="E1611" s="178"/>
      <c r="F1611" s="178"/>
      <c r="G1611" s="178"/>
      <c r="H1611" s="179"/>
      <c r="I1611" s="239"/>
      <c r="J1611" s="127" t="s">
        <v>114</v>
      </c>
      <c r="K1611" s="128"/>
      <c r="L1611" s="306"/>
      <c r="M1611" s="129">
        <v>0.02</v>
      </c>
      <c r="N1611" s="307">
        <f>(+N1597+N1602+N1609)*M1611</f>
        <v>0.80299999999999994</v>
      </c>
    </row>
    <row r="1612" spans="2:15" ht="20.100000000000001" customHeight="1" thickBot="1">
      <c r="D1612" s="180"/>
      <c r="E1612" s="181"/>
      <c r="F1612" s="181"/>
      <c r="G1612" s="181"/>
      <c r="H1612" s="181"/>
      <c r="I1612" s="240"/>
      <c r="J1612" s="537" t="s">
        <v>149</v>
      </c>
      <c r="K1612" s="538"/>
      <c r="L1612" s="538"/>
      <c r="M1612" s="538"/>
      <c r="N1612" s="308">
        <f>+N1600+N1602+N1609+N1611</f>
        <v>60.942999999999998</v>
      </c>
    </row>
    <row r="1613" spans="2:15" ht="20.100000000000001" customHeight="1" thickBot="1">
      <c r="D1613" s="182"/>
      <c r="E1613" s="183"/>
      <c r="F1613" s="183"/>
      <c r="G1613" s="183"/>
      <c r="H1613" s="183"/>
      <c r="I1613" s="241"/>
      <c r="J1613" s="184" t="s">
        <v>158</v>
      </c>
      <c r="K1613" s="185"/>
      <c r="L1613" s="309"/>
      <c r="M1613" s="186">
        <f>DI</f>
        <v>0.26700000000000002</v>
      </c>
      <c r="N1613" s="310">
        <f>(M1613*N1612)+N1612</f>
        <v>77.214781000000002</v>
      </c>
    </row>
    <row r="1614" spans="2:15" s="192" customFormat="1" ht="19.5" customHeight="1">
      <c r="B1614" s="198"/>
      <c r="C1614" s="198"/>
      <c r="D1614" s="193"/>
      <c r="E1614" s="193"/>
      <c r="F1614" s="193"/>
      <c r="G1614" s="193"/>
      <c r="H1614" s="194"/>
      <c r="I1614" s="242"/>
      <c r="J1614" s="193"/>
      <c r="K1614" s="193"/>
      <c r="L1614" s="242"/>
      <c r="M1614" s="193"/>
      <c r="N1614" s="242"/>
      <c r="O1614" s="390"/>
    </row>
    <row r="1615" spans="2:15" s="192" customFormat="1" ht="19.5" customHeight="1">
      <c r="B1615" s="198"/>
      <c r="C1615" s="198"/>
      <c r="D1615" s="193"/>
      <c r="E1615" s="193"/>
      <c r="F1615" s="193"/>
      <c r="G1615" s="193"/>
      <c r="H1615" s="194"/>
      <c r="I1615" s="242"/>
      <c r="J1615" s="193"/>
      <c r="K1615" s="193"/>
      <c r="L1615" s="242"/>
      <c r="M1615" s="193"/>
      <c r="N1615" s="242"/>
      <c r="O1615" s="390"/>
    </row>
    <row r="1616" spans="2:15" s="202" customFormat="1" ht="20.100000000000001" customHeight="1" thickBot="1">
      <c r="B1616" s="199"/>
      <c r="C1616" s="199"/>
      <c r="D1616" s="200"/>
      <c r="E1616" s="200"/>
      <c r="F1616" s="200"/>
      <c r="G1616" s="200"/>
      <c r="H1616" s="201"/>
      <c r="I1616" s="243"/>
      <c r="J1616" s="200"/>
      <c r="K1616" s="200"/>
      <c r="L1616" s="243"/>
      <c r="M1616" s="200"/>
      <c r="N1616" s="243"/>
      <c r="O1616" s="390"/>
    </row>
    <row r="1617" spans="2:14" ht="20.100000000000001" customHeight="1">
      <c r="B1617" s="197" t="s">
        <v>215</v>
      </c>
      <c r="D1617" s="520"/>
      <c r="E1617" s="521"/>
      <c r="F1617" s="524" t="s">
        <v>74</v>
      </c>
      <c r="G1617" s="525"/>
      <c r="H1617" s="525"/>
      <c r="I1617" s="525"/>
      <c r="J1617" s="525"/>
      <c r="K1617" s="525"/>
      <c r="L1617" s="526"/>
      <c r="M1617" s="19" t="s">
        <v>75</v>
      </c>
      <c r="N1617" s="20" t="s">
        <v>76</v>
      </c>
    </row>
    <row r="1618" spans="2:14" ht="20.100000000000001" customHeight="1">
      <c r="D1618" s="522"/>
      <c r="E1618" s="523"/>
      <c r="F1618" s="512" t="str">
        <f>VLOOKUP(B1617,Resumo_Composições,3,FALSE)</f>
        <v>RECUPERAÇÃO DE DEFENSA METÁLICA</v>
      </c>
      <c r="G1618" s="519"/>
      <c r="H1618" s="519"/>
      <c r="I1618" s="519"/>
      <c r="J1618" s="519"/>
      <c r="K1618" s="519"/>
      <c r="L1618" s="513"/>
      <c r="M1618" s="24" t="str">
        <f>VLOOKUP(B1617,Resumo_Composições,4,FALSE)</f>
        <v>KM</v>
      </c>
      <c r="N1618" s="25">
        <f>DATA</f>
        <v>41214</v>
      </c>
    </row>
    <row r="1619" spans="2:14" ht="20.100000000000001" customHeight="1">
      <c r="D1619" s="26" t="s">
        <v>77</v>
      </c>
      <c r="E1619" s="27"/>
      <c r="F1619" s="27"/>
      <c r="G1619" s="27"/>
      <c r="H1619" s="28"/>
      <c r="I1619" s="214" t="s">
        <v>78</v>
      </c>
      <c r="J1619" s="509" t="s">
        <v>79</v>
      </c>
      <c r="K1619" s="511"/>
      <c r="L1619" s="535" t="s">
        <v>80</v>
      </c>
      <c r="M1619" s="536"/>
      <c r="N1619" s="516" t="s">
        <v>81</v>
      </c>
    </row>
    <row r="1620" spans="2:14" ht="20.100000000000001" customHeight="1">
      <c r="D1620" s="31"/>
      <c r="E1620" s="32"/>
      <c r="F1620" s="32"/>
      <c r="G1620" s="32"/>
      <c r="H1620" s="33"/>
      <c r="I1620" s="34"/>
      <c r="J1620" s="51" t="s">
        <v>82</v>
      </c>
      <c r="K1620" s="51" t="s">
        <v>83</v>
      </c>
      <c r="L1620" s="51" t="s">
        <v>82</v>
      </c>
      <c r="M1620" s="51" t="s">
        <v>84</v>
      </c>
      <c r="N1620" s="517"/>
    </row>
    <row r="1621" spans="2:14" ht="20.100000000000001" customHeight="1">
      <c r="B1621" s="260"/>
      <c r="D1621" s="264">
        <f>IF(B1621=0,0,VLOOKUP(B1621,EQUIP,3,FALSE))</f>
        <v>0</v>
      </c>
      <c r="E1621" s="91"/>
      <c r="F1621" s="91"/>
      <c r="G1621" s="91"/>
      <c r="H1621" s="92"/>
      <c r="I1621" s="215"/>
      <c r="J1621" s="38"/>
      <c r="K1621" s="38"/>
      <c r="L1621" s="318">
        <f>IF(B1621=0,0,VLOOKUP(B1621,EQUIP,6,FALSE))</f>
        <v>0</v>
      </c>
      <c r="M1621" s="318">
        <f>IF(B1621=0,0,VLOOKUP(B1621,EQUIP,7,FALSE))</f>
        <v>0</v>
      </c>
      <c r="N1621" s="319">
        <f>ROUND(J1621*L1621+K1621*M1621,2)</f>
        <v>0</v>
      </c>
    </row>
    <row r="1622" spans="2:14" ht="20.100000000000001" customHeight="1">
      <c r="B1622" s="260"/>
      <c r="D1622" s="264">
        <f>IF(B1622=0,0,VLOOKUP(B1622,EQUIP,3,FALSE))</f>
        <v>0</v>
      </c>
      <c r="E1622" s="36"/>
      <c r="F1622" s="36"/>
      <c r="G1622" s="36"/>
      <c r="H1622" s="37"/>
      <c r="I1622" s="215"/>
      <c r="J1622" s="39"/>
      <c r="K1622" s="38"/>
      <c r="L1622" s="318">
        <f>IF(B1622=0,0,VLOOKUP(B1622,EQUIP,6,FALSE))</f>
        <v>0</v>
      </c>
      <c r="M1622" s="318">
        <f>IF(B1622=0,0,VLOOKUP(B1622,EQUIP,7,FALSE))</f>
        <v>0</v>
      </c>
      <c r="N1622" s="319">
        <f>ROUND(J1622*L1622+K1622*M1622,2)</f>
        <v>0</v>
      </c>
    </row>
    <row r="1623" spans="2:14" ht="20.100000000000001" customHeight="1">
      <c r="B1623" s="260"/>
      <c r="D1623" s="264">
        <f>IF(B1623=0,0,VLOOKUP(B1623,EQUIP,3,FALSE))</f>
        <v>0</v>
      </c>
      <c r="E1623" s="91"/>
      <c r="F1623" s="91"/>
      <c r="G1623" s="91"/>
      <c r="H1623" s="92"/>
      <c r="I1623" s="215"/>
      <c r="J1623" s="38"/>
      <c r="K1623" s="38"/>
      <c r="L1623" s="318">
        <f>IF(B1623=0,0,VLOOKUP(B1623,EQUIP,6,FALSE))</f>
        <v>0</v>
      </c>
      <c r="M1623" s="318">
        <f>IF(B1623=0,0,VLOOKUP(B1623,EQUIP,7,FALSE))</f>
        <v>0</v>
      </c>
      <c r="N1623" s="319">
        <f>ROUND(J1623*L1623+K1623*M1623,2)</f>
        <v>0</v>
      </c>
    </row>
    <row r="1624" spans="2:14" ht="20.100000000000001" customHeight="1">
      <c r="B1624" s="260"/>
      <c r="D1624" s="264">
        <f>IF(B1624=0,0,VLOOKUP(B1624,EQUIP,3,FALSE))</f>
        <v>0</v>
      </c>
      <c r="E1624" s="36"/>
      <c r="F1624" s="36"/>
      <c r="G1624" s="36"/>
      <c r="H1624" s="37"/>
      <c r="I1624" s="55"/>
      <c r="J1624" s="38"/>
      <c r="K1624" s="38"/>
      <c r="L1624" s="318">
        <f>IF(B1624=0,0,VLOOKUP(B1624,EQUIP,6,FALSE))</f>
        <v>0</v>
      </c>
      <c r="M1624" s="318">
        <f>IF(B1624=0,0,VLOOKUP(B1624,EQUIP,7,FALSE))</f>
        <v>0</v>
      </c>
      <c r="N1624" s="319">
        <f>ROUND(J1624*L1624+K1624*M1624,2)</f>
        <v>0</v>
      </c>
    </row>
    <row r="1625" spans="2:14" ht="20.100000000000001" customHeight="1">
      <c r="B1625" s="260"/>
      <c r="D1625" s="264">
        <f>IF(B1625=0,0,VLOOKUP(B1625,EQUIP,3,FALSE))</f>
        <v>0</v>
      </c>
      <c r="E1625" s="36"/>
      <c r="F1625" s="36"/>
      <c r="G1625" s="36"/>
      <c r="H1625" s="37"/>
      <c r="I1625" s="215"/>
      <c r="J1625" s="38"/>
      <c r="K1625" s="38"/>
      <c r="L1625" s="318">
        <f>IF(B1625=0,0,VLOOKUP(B1625,EQUIP,6,FALSE))</f>
        <v>0</v>
      </c>
      <c r="M1625" s="318">
        <f>IF(B1625=0,0,VLOOKUP(B1625,EQUIP,7,FALSE))</f>
        <v>0</v>
      </c>
      <c r="N1625" s="319">
        <f>ROUND(J1625*L1625+K1625*M1625,2)</f>
        <v>0</v>
      </c>
    </row>
    <row r="1626" spans="2:14" ht="20.100000000000001" customHeight="1">
      <c r="D1626" s="155"/>
      <c r="E1626" s="156"/>
      <c r="F1626" s="156"/>
      <c r="G1626" s="156"/>
      <c r="H1626" s="156"/>
      <c r="I1626" s="235"/>
      <c r="J1626" s="157"/>
      <c r="K1626" s="157"/>
      <c r="L1626" s="216"/>
      <c r="M1626" s="42" t="s">
        <v>89</v>
      </c>
      <c r="N1626" s="270">
        <f>SUM(N1621:N1625)</f>
        <v>0</v>
      </c>
    </row>
    <row r="1627" spans="2:14" ht="3.95" customHeight="1">
      <c r="D1627" s="158"/>
      <c r="E1627" s="159"/>
      <c r="F1627" s="159"/>
      <c r="G1627" s="160"/>
      <c r="H1627" s="159"/>
      <c r="I1627" s="236"/>
      <c r="J1627" s="161"/>
      <c r="K1627" s="162"/>
      <c r="L1627" s="163"/>
      <c r="M1627" s="163"/>
      <c r="N1627" s="300"/>
    </row>
    <row r="1628" spans="2:14" ht="20.100000000000001" customHeight="1">
      <c r="D1628" s="518" t="s">
        <v>90</v>
      </c>
      <c r="E1628" s="519"/>
      <c r="F1628" s="519"/>
      <c r="G1628" s="519"/>
      <c r="H1628" s="519"/>
      <c r="I1628" s="519"/>
      <c r="J1628" s="513"/>
      <c r="K1628" s="50" t="s">
        <v>91</v>
      </c>
      <c r="L1628" s="51" t="s">
        <v>92</v>
      </c>
      <c r="M1628" s="51" t="s">
        <v>93</v>
      </c>
      <c r="N1628" s="272" t="s">
        <v>94</v>
      </c>
    </row>
    <row r="1629" spans="2:14" ht="20.100000000000001" customHeight="1">
      <c r="B1629" s="260"/>
      <c r="D1629" s="264">
        <f>IF(B1629=0,0,VLOOKUP(B1629,MO,2,FALSE))</f>
        <v>0</v>
      </c>
      <c r="E1629" s="53"/>
      <c r="F1629" s="53"/>
      <c r="G1629" s="53"/>
      <c r="H1629" s="53"/>
      <c r="I1629" s="36"/>
      <c r="J1629" s="54"/>
      <c r="K1629" s="152"/>
      <c r="L1629" s="164"/>
      <c r="M1629" s="263">
        <f>IF(B1629=0,0,VLOOKUP(B1629,MO,6,FALSE))</f>
        <v>0</v>
      </c>
      <c r="N1629" s="316">
        <f>ROUND(L1629*M1629,2)</f>
        <v>0</v>
      </c>
    </row>
    <row r="1630" spans="2:14" ht="20.100000000000001" customHeight="1">
      <c r="B1630" s="260"/>
      <c r="D1630" s="264">
        <f>IF(B1630=0,0,VLOOKUP(B1630,MO,2,FALSE))</f>
        <v>0</v>
      </c>
      <c r="E1630" s="53"/>
      <c r="F1630" s="53"/>
      <c r="G1630" s="53"/>
      <c r="H1630" s="53"/>
      <c r="I1630" s="36"/>
      <c r="J1630" s="54"/>
      <c r="K1630" s="152"/>
      <c r="L1630" s="164"/>
      <c r="M1630" s="263">
        <f>IF(B1630=0,0,VLOOKUP(B1630,MO,6,FALSE))</f>
        <v>0</v>
      </c>
      <c r="N1630" s="316">
        <f>ROUND(L1630*M1630,2)</f>
        <v>0</v>
      </c>
    </row>
    <row r="1631" spans="2:14" ht="20.100000000000001" customHeight="1">
      <c r="B1631" s="260"/>
      <c r="D1631" s="52" t="s">
        <v>122</v>
      </c>
      <c r="E1631" s="53"/>
      <c r="F1631" s="53"/>
      <c r="G1631" s="53"/>
      <c r="H1631" s="53"/>
      <c r="I1631" s="36"/>
      <c r="J1631" s="54"/>
      <c r="K1631" s="165">
        <v>0</v>
      </c>
      <c r="L1631" s="263">
        <f>N1629+N1630</f>
        <v>0</v>
      </c>
      <c r="M1631" s="164"/>
      <c r="N1631" s="316">
        <f>ROUND(L1631*K1631,2)</f>
        <v>0</v>
      </c>
    </row>
    <row r="1632" spans="2:14" ht="20.100000000000001" customHeight="1">
      <c r="D1632" s="167"/>
      <c r="E1632" s="59"/>
      <c r="F1632" s="168"/>
      <c r="G1632" s="168"/>
      <c r="H1632" s="159"/>
      <c r="I1632" s="236"/>
      <c r="J1632" s="169"/>
      <c r="K1632" s="162"/>
      <c r="L1632" s="163"/>
      <c r="M1632" s="62" t="s">
        <v>98</v>
      </c>
      <c r="N1632" s="437">
        <f>SUM(N1629:N1631)</f>
        <v>0</v>
      </c>
    </row>
    <row r="1633" spans="2:14" ht="3.95" customHeight="1">
      <c r="D1633" s="158"/>
      <c r="E1633" s="159"/>
      <c r="F1633" s="159"/>
      <c r="G1633" s="159"/>
      <c r="H1633" s="159"/>
      <c r="I1633" s="236"/>
      <c r="J1633" s="169"/>
      <c r="K1633" s="162"/>
      <c r="L1633" s="163"/>
      <c r="M1633" s="163"/>
      <c r="N1633" s="300"/>
    </row>
    <row r="1634" spans="2:14" ht="20.100000000000001" customHeight="1">
      <c r="D1634" s="170"/>
      <c r="E1634" s="168"/>
      <c r="F1634" s="168"/>
      <c r="G1634" s="168"/>
      <c r="H1634" s="171"/>
      <c r="I1634" s="237"/>
      <c r="J1634" s="171"/>
      <c r="K1634" s="509" t="s">
        <v>99</v>
      </c>
      <c r="L1634" s="510"/>
      <c r="M1634" s="511"/>
      <c r="N1634" s="439">
        <f>+N1626+N1632</f>
        <v>0</v>
      </c>
    </row>
    <row r="1635" spans="2:14" ht="3.95" customHeight="1">
      <c r="D1635" s="172"/>
      <c r="E1635" s="159"/>
      <c r="F1635" s="159"/>
      <c r="G1635" s="160"/>
      <c r="H1635" s="159"/>
      <c r="I1635" s="236"/>
      <c r="J1635" s="161"/>
      <c r="K1635" s="162"/>
      <c r="L1635" s="163"/>
      <c r="M1635" s="163"/>
      <c r="N1635" s="300"/>
    </row>
    <row r="1636" spans="2:14" ht="20.100000000000001" customHeight="1">
      <c r="D1636" s="167"/>
      <c r="E1636" s="509" t="s">
        <v>100</v>
      </c>
      <c r="F1636" s="510"/>
      <c r="G1636" s="510"/>
      <c r="H1636" s="511"/>
      <c r="I1636" s="238">
        <v>1</v>
      </c>
      <c r="J1636" s="163"/>
      <c r="K1636" s="506" t="s">
        <v>101</v>
      </c>
      <c r="L1636" s="507"/>
      <c r="M1636" s="508"/>
      <c r="N1636" s="440">
        <f>ROUND(N1634/I1636,2)</f>
        <v>0</v>
      </c>
    </row>
    <row r="1637" spans="2:14" ht="3.95" customHeight="1">
      <c r="D1637" s="158"/>
      <c r="E1637" s="159"/>
      <c r="F1637" s="159"/>
      <c r="G1637" s="173"/>
      <c r="H1637" s="159"/>
      <c r="I1637" s="163"/>
      <c r="J1637" s="161"/>
      <c r="K1637" s="161"/>
      <c r="L1637" s="163"/>
      <c r="M1637" s="161"/>
      <c r="N1637" s="305"/>
    </row>
    <row r="1638" spans="2:14" ht="20.100000000000001" customHeight="1">
      <c r="D1638" s="49" t="s">
        <v>102</v>
      </c>
      <c r="E1638" s="22"/>
      <c r="F1638" s="22"/>
      <c r="G1638" s="22"/>
      <c r="H1638" s="22"/>
      <c r="I1638" s="141"/>
      <c r="J1638" s="23"/>
      <c r="K1638" s="50" t="s">
        <v>103</v>
      </c>
      <c r="L1638" s="51" t="s">
        <v>80</v>
      </c>
      <c r="M1638" s="51" t="s">
        <v>104</v>
      </c>
      <c r="N1638" s="272" t="s">
        <v>105</v>
      </c>
    </row>
    <row r="1639" spans="2:14" ht="20.100000000000001" customHeight="1">
      <c r="B1639" s="260" t="s">
        <v>426</v>
      </c>
      <c r="D1639" s="52" t="str">
        <f>IF(B1639=0,0,VLOOKUP(B1639,MAT,3,FALSE))</f>
        <v>DEFENSA SEMI-MALEÁVEL SIMPLES (FORN. / IMPL.)</v>
      </c>
      <c r="E1639" s="53"/>
      <c r="F1639" s="53"/>
      <c r="G1639" s="53"/>
      <c r="H1639" s="53"/>
      <c r="I1639" s="36"/>
      <c r="J1639" s="54"/>
      <c r="K1639" s="66" t="str">
        <f>IF(B1639=0,0,VLOOKUP(B1639,MAT,5,FALSE))</f>
        <v>M</v>
      </c>
      <c r="L1639" s="55">
        <f>IF(B1639=0,0,VLOOKUP(B1639,MAT,6,FALSE))</f>
        <v>142.94</v>
      </c>
      <c r="M1639" s="321">
        <v>900</v>
      </c>
      <c r="N1639" s="301">
        <f>ROUND(L1639*M1639,2)</f>
        <v>128646</v>
      </c>
    </row>
    <row r="1640" spans="2:14" ht="20.100000000000001" customHeight="1">
      <c r="B1640" s="260" t="s">
        <v>432</v>
      </c>
      <c r="D1640" s="52" t="str">
        <f>IF(B1640=0,0,VLOOKUP(B1640,MAT,3,FALSE))</f>
        <v>ANCORAGEM DEFENSA SEMI-MALEÁVEL SIMPLES (FORN. / IMPL.)</v>
      </c>
      <c r="E1640" s="53"/>
      <c r="F1640" s="53"/>
      <c r="G1640" s="53"/>
      <c r="H1640" s="53"/>
      <c r="I1640" s="36"/>
      <c r="J1640" s="54"/>
      <c r="K1640" s="66" t="str">
        <f>IF(B1640=0,0,VLOOKUP(B1640,MAT,5,FALSE))</f>
        <v>M</v>
      </c>
      <c r="L1640" s="55">
        <f>IF(B1640=0,0,VLOOKUP(B1640,MAT,6,FALSE))</f>
        <v>342.93</v>
      </c>
      <c r="M1640" s="321">
        <v>45</v>
      </c>
      <c r="N1640" s="301">
        <f>ROUND(L1640*M1640,2)</f>
        <v>15431.85</v>
      </c>
    </row>
    <row r="1641" spans="2:14" ht="20.100000000000001" customHeight="1">
      <c r="B1641" s="260"/>
      <c r="D1641" s="52"/>
      <c r="E1641" s="53"/>
      <c r="F1641" s="53"/>
      <c r="G1641" s="53"/>
      <c r="H1641" s="53"/>
      <c r="I1641" s="36"/>
      <c r="J1641" s="54"/>
      <c r="K1641" s="66"/>
      <c r="L1641" s="67"/>
      <c r="M1641" s="174"/>
      <c r="N1641" s="316">
        <f>ROUND(L1641*M1641,2)</f>
        <v>0</v>
      </c>
    </row>
    <row r="1642" spans="2:14" ht="20.100000000000001" customHeight="1">
      <c r="D1642" s="158"/>
      <c r="E1642" s="159"/>
      <c r="F1642" s="159"/>
      <c r="G1642" s="173"/>
      <c r="H1642" s="159"/>
      <c r="I1642" s="163"/>
      <c r="J1642" s="161"/>
      <c r="K1642" s="161"/>
      <c r="L1642" s="163"/>
      <c r="M1642" s="71" t="s">
        <v>106</v>
      </c>
      <c r="N1642" s="302">
        <f>SUM(N1639:N1641)</f>
        <v>144077.85</v>
      </c>
    </row>
    <row r="1643" spans="2:14" ht="20.100000000000001" customHeight="1">
      <c r="D1643" s="158"/>
      <c r="E1643" s="159"/>
      <c r="F1643" s="159"/>
      <c r="G1643" s="173"/>
      <c r="H1643" s="159"/>
      <c r="I1643" s="163"/>
      <c r="J1643" s="161"/>
      <c r="K1643" s="161"/>
      <c r="L1643" s="163"/>
      <c r="M1643" s="161"/>
      <c r="N1643" s="305"/>
    </row>
    <row r="1644" spans="2:14" ht="20.100000000000001" customHeight="1">
      <c r="D1644" s="527" t="s">
        <v>107</v>
      </c>
      <c r="E1644" s="72" t="s">
        <v>2</v>
      </c>
      <c r="F1644" s="73"/>
      <c r="G1644" s="73"/>
      <c r="H1644" s="74"/>
      <c r="I1644" s="498" t="s">
        <v>108</v>
      </c>
      <c r="J1644" s="499"/>
      <c r="K1644" s="531" t="s">
        <v>103</v>
      </c>
      <c r="L1644" s="514" t="s">
        <v>80</v>
      </c>
      <c r="M1644" s="531" t="s">
        <v>109</v>
      </c>
      <c r="N1644" s="529" t="s">
        <v>105</v>
      </c>
    </row>
    <row r="1645" spans="2:14" ht="20.100000000000001" customHeight="1">
      <c r="D1645" s="528"/>
      <c r="E1645" s="512" t="s">
        <v>110</v>
      </c>
      <c r="F1645" s="513"/>
      <c r="G1645" s="512" t="s">
        <v>111</v>
      </c>
      <c r="H1645" s="513"/>
      <c r="I1645" s="500"/>
      <c r="J1645" s="501"/>
      <c r="K1645" s="532"/>
      <c r="L1645" s="515"/>
      <c r="M1645" s="532"/>
      <c r="N1645" s="530"/>
    </row>
    <row r="1646" spans="2:14" ht="21" customHeight="1">
      <c r="B1646" s="260"/>
      <c r="D1646" s="268">
        <f>IF(B1646=0,0,VLOOKUP(B1646,TRANS,3,FALSE))</f>
        <v>0</v>
      </c>
      <c r="E1646" s="581">
        <f>IF(B1646=0,0,VLOOKUP(B1646,TRANS,5,FALSE))</f>
        <v>0</v>
      </c>
      <c r="F1646" s="582"/>
      <c r="G1646" s="577"/>
      <c r="H1646" s="578"/>
      <c r="I1646" s="581"/>
      <c r="J1646" s="582"/>
      <c r="K1646" s="262">
        <f>IF(B1646=0,0,VLOOKUP(B1646,TRANS,4,FALSE))</f>
        <v>0</v>
      </c>
      <c r="L1646" s="267">
        <f>E1646*I1646</f>
        <v>0</v>
      </c>
      <c r="M1646" s="267"/>
      <c r="N1646" s="317">
        <f>ROUND(L1646*M1646,2)</f>
        <v>0</v>
      </c>
    </row>
    <row r="1647" spans="2:14" ht="21" customHeight="1">
      <c r="B1647" s="260"/>
      <c r="D1647" s="268">
        <f>IF(B1647=0,0,VLOOKUP(B1647,TRANS,3,FALSE))</f>
        <v>0</v>
      </c>
      <c r="E1647" s="581">
        <f>IF(B1647=0,0,VLOOKUP(B1647,TRANS,5,FALSE))</f>
        <v>0</v>
      </c>
      <c r="F1647" s="582"/>
      <c r="G1647" s="577"/>
      <c r="H1647" s="578"/>
      <c r="I1647" s="581"/>
      <c r="J1647" s="582"/>
      <c r="K1647" s="262">
        <f>IF(B1647=0,0,VLOOKUP(B1647,TRANS,4,FALSE))</f>
        <v>0</v>
      </c>
      <c r="L1647" s="267">
        <f>E1647*I1647</f>
        <v>0</v>
      </c>
      <c r="M1647" s="267"/>
      <c r="N1647" s="317">
        <f>ROUND(L1647*M1647,2)</f>
        <v>0</v>
      </c>
    </row>
    <row r="1648" spans="2:14" ht="21" customHeight="1">
      <c r="B1648" s="260"/>
      <c r="D1648" s="268"/>
      <c r="E1648" s="504"/>
      <c r="F1648" s="505"/>
      <c r="G1648" s="502"/>
      <c r="H1648" s="503"/>
      <c r="I1648" s="533"/>
      <c r="J1648" s="534"/>
      <c r="K1648" s="66"/>
      <c r="L1648" s="67"/>
      <c r="M1648" s="70"/>
      <c r="N1648" s="317">
        <f>ROUND(L1648*M1648,2)</f>
        <v>0</v>
      </c>
    </row>
    <row r="1649" spans="2:15" ht="20.100000000000001" customHeight="1">
      <c r="D1649" s="175"/>
      <c r="E1649" s="176"/>
      <c r="F1649" s="159"/>
      <c r="G1649" s="173"/>
      <c r="H1649" s="159"/>
      <c r="I1649" s="163"/>
      <c r="J1649" s="161"/>
      <c r="K1649" s="161"/>
      <c r="L1649" s="163"/>
      <c r="M1649" s="71" t="s">
        <v>112</v>
      </c>
      <c r="N1649" s="437">
        <f>SUM(N1646:N1648)</f>
        <v>0</v>
      </c>
    </row>
    <row r="1650" spans="2:15" ht="3.95" customHeight="1" thickBot="1">
      <c r="D1650" s="175"/>
      <c r="E1650" s="159"/>
      <c r="F1650" s="173"/>
      <c r="G1650" s="159"/>
      <c r="H1650" s="161"/>
      <c r="I1650" s="163"/>
      <c r="J1650" s="161"/>
      <c r="K1650" s="161"/>
      <c r="L1650" s="163"/>
      <c r="M1650" s="161"/>
      <c r="N1650" s="305"/>
    </row>
    <row r="1651" spans="2:15" ht="20.100000000000001" customHeight="1">
      <c r="D1651" s="177"/>
      <c r="E1651" s="178"/>
      <c r="F1651" s="178"/>
      <c r="G1651" s="178"/>
      <c r="H1651" s="179"/>
      <c r="I1651" s="239"/>
      <c r="J1651" s="127" t="s">
        <v>114</v>
      </c>
      <c r="K1651" s="128"/>
      <c r="L1651" s="306"/>
      <c r="M1651" s="129">
        <v>0.02</v>
      </c>
      <c r="N1651" s="307">
        <f>(+N1636+N1642+N1649)*M1651</f>
        <v>2881.5570000000002</v>
      </c>
    </row>
    <row r="1652" spans="2:15" ht="20.100000000000001" customHeight="1" thickBot="1">
      <c r="D1652" s="180"/>
      <c r="E1652" s="181"/>
      <c r="F1652" s="181"/>
      <c r="G1652" s="181"/>
      <c r="H1652" s="181"/>
      <c r="I1652" s="240"/>
      <c r="J1652" s="537" t="s">
        <v>149</v>
      </c>
      <c r="K1652" s="538"/>
      <c r="L1652" s="538"/>
      <c r="M1652" s="538"/>
      <c r="N1652" s="308">
        <f>+N1637+N1642+N1649+N1651</f>
        <v>146959.40700000001</v>
      </c>
    </row>
    <row r="1653" spans="2:15" ht="20.100000000000001" customHeight="1" thickBot="1">
      <c r="D1653" s="182"/>
      <c r="E1653" s="183"/>
      <c r="F1653" s="183"/>
      <c r="G1653" s="183"/>
      <c r="H1653" s="183"/>
      <c r="I1653" s="241"/>
      <c r="J1653" s="184" t="s">
        <v>158</v>
      </c>
      <c r="K1653" s="185"/>
      <c r="L1653" s="309"/>
      <c r="M1653" s="186">
        <f>DI</f>
        <v>0.26700000000000002</v>
      </c>
      <c r="N1653" s="310">
        <f>(M1653*N1652)+N1652</f>
        <v>186197.568669</v>
      </c>
    </row>
    <row r="1654" spans="2:15" s="202" customFormat="1" ht="20.100000000000001" customHeight="1">
      <c r="B1654" s="199"/>
      <c r="C1654" s="199"/>
      <c r="D1654" s="200"/>
      <c r="E1654" s="200"/>
      <c r="F1654" s="200"/>
      <c r="G1654" s="200"/>
      <c r="H1654" s="201"/>
      <c r="I1654" s="243"/>
      <c r="J1654" s="200"/>
      <c r="K1654" s="200"/>
      <c r="L1654" s="243"/>
      <c r="M1654" s="200"/>
      <c r="N1654" s="243"/>
      <c r="O1654" s="390"/>
    </row>
    <row r="1655" spans="2:15" s="202" customFormat="1" ht="20.100000000000001" customHeight="1">
      <c r="B1655" s="199"/>
      <c r="C1655" s="199"/>
      <c r="D1655" s="200"/>
      <c r="E1655" s="200"/>
      <c r="F1655" s="200"/>
      <c r="G1655" s="200"/>
      <c r="H1655" s="201"/>
      <c r="I1655" s="243"/>
      <c r="J1655" s="200"/>
      <c r="K1655" s="200"/>
      <c r="L1655" s="243"/>
      <c r="M1655" s="200"/>
      <c r="N1655" s="243"/>
      <c r="O1655" s="390"/>
    </row>
    <row r="1656" spans="2:15" s="204" customFormat="1" ht="18.75" thickBot="1">
      <c r="B1656" s="207"/>
      <c r="C1656" s="207"/>
      <c r="H1656" s="208"/>
      <c r="I1656" s="245"/>
      <c r="J1656" s="208"/>
      <c r="K1656" s="208"/>
      <c r="L1656" s="245"/>
      <c r="M1656" s="208"/>
      <c r="N1656" s="245"/>
      <c r="O1656" s="394"/>
    </row>
    <row r="1657" spans="2:15" ht="20.100000000000001" customHeight="1">
      <c r="B1657" s="197" t="s">
        <v>216</v>
      </c>
      <c r="D1657" s="520"/>
      <c r="E1657" s="521"/>
      <c r="F1657" s="524" t="s">
        <v>74</v>
      </c>
      <c r="G1657" s="525"/>
      <c r="H1657" s="525"/>
      <c r="I1657" s="525"/>
      <c r="J1657" s="525"/>
      <c r="K1657" s="525"/>
      <c r="L1657" s="526"/>
      <c r="M1657" s="19" t="s">
        <v>75</v>
      </c>
      <c r="N1657" s="20" t="s">
        <v>76</v>
      </c>
    </row>
    <row r="1658" spans="2:15" ht="20.100000000000001" customHeight="1">
      <c r="D1658" s="522"/>
      <c r="E1658" s="523"/>
      <c r="F1658" s="512" t="str">
        <f>VLOOKUP(B1657,Resumo_Composições,3,FALSE)</f>
        <v>SUBSTITUIÇÃO DE DEFENSA METÁLICA</v>
      </c>
      <c r="G1658" s="519"/>
      <c r="H1658" s="519"/>
      <c r="I1658" s="519"/>
      <c r="J1658" s="519"/>
      <c r="K1658" s="519"/>
      <c r="L1658" s="513"/>
      <c r="M1658" s="24" t="str">
        <f>VLOOKUP(B1657,Resumo_Composições,4,FALSE)</f>
        <v>KM</v>
      </c>
      <c r="N1658" s="25">
        <f>DATA</f>
        <v>41214</v>
      </c>
    </row>
    <row r="1659" spans="2:15" ht="20.100000000000001" customHeight="1">
      <c r="D1659" s="26" t="s">
        <v>77</v>
      </c>
      <c r="E1659" s="27"/>
      <c r="F1659" s="27"/>
      <c r="G1659" s="27"/>
      <c r="H1659" s="28"/>
      <c r="I1659" s="214" t="s">
        <v>78</v>
      </c>
      <c r="J1659" s="509" t="s">
        <v>79</v>
      </c>
      <c r="K1659" s="511"/>
      <c r="L1659" s="535" t="s">
        <v>80</v>
      </c>
      <c r="M1659" s="536"/>
      <c r="N1659" s="516" t="s">
        <v>81</v>
      </c>
    </row>
    <row r="1660" spans="2:15" ht="20.100000000000001" customHeight="1">
      <c r="D1660" s="31"/>
      <c r="E1660" s="32"/>
      <c r="F1660" s="32"/>
      <c r="G1660" s="32"/>
      <c r="H1660" s="33"/>
      <c r="I1660" s="34"/>
      <c r="J1660" s="51" t="s">
        <v>82</v>
      </c>
      <c r="K1660" s="51" t="s">
        <v>83</v>
      </c>
      <c r="L1660" s="51" t="s">
        <v>82</v>
      </c>
      <c r="M1660" s="51" t="s">
        <v>84</v>
      </c>
      <c r="N1660" s="517"/>
    </row>
    <row r="1661" spans="2:15" ht="20.100000000000001" customHeight="1">
      <c r="B1661" s="260"/>
      <c r="D1661" s="264">
        <f>IF(B1661=0,0,VLOOKUP(B1661,EQUIP,3,FALSE))</f>
        <v>0</v>
      </c>
      <c r="E1661" s="91"/>
      <c r="F1661" s="91"/>
      <c r="G1661" s="91"/>
      <c r="H1661" s="92"/>
      <c r="I1661" s="215"/>
      <c r="J1661" s="38"/>
      <c r="K1661" s="38"/>
      <c r="L1661" s="318">
        <f>IF(B1661=0,0,VLOOKUP(B1661,EQUIP,6,FALSE))</f>
        <v>0</v>
      </c>
      <c r="M1661" s="318">
        <f>IF(B1661=0,0,VLOOKUP(B1661,EQUIP,7,FALSE))</f>
        <v>0</v>
      </c>
      <c r="N1661" s="319">
        <f>ROUND(J1661*L1661+K1661*M1661,2)</f>
        <v>0</v>
      </c>
    </row>
    <row r="1662" spans="2:15" ht="20.100000000000001" customHeight="1">
      <c r="B1662" s="260"/>
      <c r="D1662" s="264">
        <f>IF(B1662=0,0,VLOOKUP(B1662,EQUIP,3,FALSE))</f>
        <v>0</v>
      </c>
      <c r="E1662" s="36"/>
      <c r="F1662" s="36"/>
      <c r="G1662" s="36"/>
      <c r="H1662" s="37"/>
      <c r="I1662" s="215"/>
      <c r="J1662" s="39"/>
      <c r="K1662" s="38"/>
      <c r="L1662" s="318">
        <f>IF(B1662=0,0,VLOOKUP(B1662,EQUIP,6,FALSE))</f>
        <v>0</v>
      </c>
      <c r="M1662" s="318">
        <f>IF(B1662=0,0,VLOOKUP(B1662,EQUIP,7,FALSE))</f>
        <v>0</v>
      </c>
      <c r="N1662" s="319">
        <f>ROUND(J1662*L1662+K1662*M1662,2)</f>
        <v>0</v>
      </c>
    </row>
    <row r="1663" spans="2:15" ht="20.100000000000001" customHeight="1">
      <c r="B1663" s="260"/>
      <c r="D1663" s="264">
        <f>IF(B1663=0,0,VLOOKUP(B1663,EQUIP,3,FALSE))</f>
        <v>0</v>
      </c>
      <c r="E1663" s="91"/>
      <c r="F1663" s="91"/>
      <c r="G1663" s="91"/>
      <c r="H1663" s="92"/>
      <c r="I1663" s="215"/>
      <c r="J1663" s="38"/>
      <c r="K1663" s="38"/>
      <c r="L1663" s="318">
        <f>IF(B1663=0,0,VLOOKUP(B1663,EQUIP,6,FALSE))</f>
        <v>0</v>
      </c>
      <c r="M1663" s="318">
        <f>IF(B1663=0,0,VLOOKUP(B1663,EQUIP,7,FALSE))</f>
        <v>0</v>
      </c>
      <c r="N1663" s="319">
        <f>ROUND(J1663*L1663+K1663*M1663,2)</f>
        <v>0</v>
      </c>
    </row>
    <row r="1664" spans="2:15" ht="20.100000000000001" customHeight="1">
      <c r="B1664" s="260"/>
      <c r="D1664" s="264">
        <f>IF(B1664=0,0,VLOOKUP(B1664,EQUIP,3,FALSE))</f>
        <v>0</v>
      </c>
      <c r="E1664" s="36"/>
      <c r="F1664" s="36"/>
      <c r="G1664" s="36"/>
      <c r="H1664" s="37"/>
      <c r="I1664" s="55"/>
      <c r="J1664" s="38"/>
      <c r="K1664" s="38"/>
      <c r="L1664" s="318">
        <f>IF(B1664=0,0,VLOOKUP(B1664,EQUIP,6,FALSE))</f>
        <v>0</v>
      </c>
      <c r="M1664" s="318">
        <f>IF(B1664=0,0,VLOOKUP(B1664,EQUIP,7,FALSE))</f>
        <v>0</v>
      </c>
      <c r="N1664" s="319">
        <f>ROUND(J1664*L1664+K1664*M1664,2)</f>
        <v>0</v>
      </c>
    </row>
    <row r="1665" spans="2:14" ht="20.100000000000001" customHeight="1">
      <c r="B1665" s="260"/>
      <c r="D1665" s="264">
        <f>IF(B1665=0,0,VLOOKUP(B1665,EQUIP,3,FALSE))</f>
        <v>0</v>
      </c>
      <c r="E1665" s="36"/>
      <c r="F1665" s="36"/>
      <c r="G1665" s="36"/>
      <c r="H1665" s="37"/>
      <c r="I1665" s="215"/>
      <c r="J1665" s="38"/>
      <c r="K1665" s="38"/>
      <c r="L1665" s="318">
        <f>IF(B1665=0,0,VLOOKUP(B1665,EQUIP,6,FALSE))</f>
        <v>0</v>
      </c>
      <c r="M1665" s="318">
        <f>IF(B1665=0,0,VLOOKUP(B1665,EQUIP,7,FALSE))</f>
        <v>0</v>
      </c>
      <c r="N1665" s="319">
        <f>ROUND(J1665*L1665+K1665*M1665,2)</f>
        <v>0</v>
      </c>
    </row>
    <row r="1666" spans="2:14" ht="20.100000000000001" customHeight="1">
      <c r="D1666" s="155"/>
      <c r="E1666" s="156"/>
      <c r="F1666" s="156"/>
      <c r="G1666" s="156"/>
      <c r="H1666" s="156"/>
      <c r="I1666" s="235"/>
      <c r="J1666" s="157"/>
      <c r="K1666" s="157"/>
      <c r="L1666" s="216"/>
      <c r="M1666" s="42" t="s">
        <v>89</v>
      </c>
      <c r="N1666" s="441">
        <f>SUM(N1661:N1665)</f>
        <v>0</v>
      </c>
    </row>
    <row r="1667" spans="2:14" ht="3.95" customHeight="1">
      <c r="D1667" s="158"/>
      <c r="E1667" s="159"/>
      <c r="F1667" s="159"/>
      <c r="G1667" s="160"/>
      <c r="H1667" s="159"/>
      <c r="I1667" s="236"/>
      <c r="J1667" s="161"/>
      <c r="K1667" s="162"/>
      <c r="L1667" s="163"/>
      <c r="M1667" s="163"/>
      <c r="N1667" s="300"/>
    </row>
    <row r="1668" spans="2:14" ht="20.100000000000001" customHeight="1">
      <c r="D1668" s="518" t="s">
        <v>90</v>
      </c>
      <c r="E1668" s="519"/>
      <c r="F1668" s="519"/>
      <c r="G1668" s="519"/>
      <c r="H1668" s="519"/>
      <c r="I1668" s="519"/>
      <c r="J1668" s="513"/>
      <c r="K1668" s="50" t="s">
        <v>91</v>
      </c>
      <c r="L1668" s="51" t="s">
        <v>92</v>
      </c>
      <c r="M1668" s="51" t="s">
        <v>93</v>
      </c>
      <c r="N1668" s="272" t="s">
        <v>94</v>
      </c>
    </row>
    <row r="1669" spans="2:14" ht="20.100000000000001" customHeight="1">
      <c r="B1669" s="260"/>
      <c r="D1669" s="264">
        <f>IF(B1669=0,0,VLOOKUP(B1669,MO,2,FALSE))</f>
        <v>0</v>
      </c>
      <c r="E1669" s="53"/>
      <c r="F1669" s="53"/>
      <c r="G1669" s="53"/>
      <c r="H1669" s="53"/>
      <c r="I1669" s="36"/>
      <c r="J1669" s="54"/>
      <c r="K1669" s="152"/>
      <c r="L1669" s="164"/>
      <c r="M1669" s="263">
        <f>IF(B1669=0,0,VLOOKUP(B1669,MO,6,FALSE))</f>
        <v>0</v>
      </c>
      <c r="N1669" s="316">
        <f>ROUND(L1669*M1669,2)</f>
        <v>0</v>
      </c>
    </row>
    <row r="1670" spans="2:14" ht="20.100000000000001" customHeight="1">
      <c r="B1670" s="260"/>
      <c r="D1670" s="264">
        <f>IF(B1670=0,0,VLOOKUP(B1670,MO,2,FALSE))</f>
        <v>0</v>
      </c>
      <c r="E1670" s="53"/>
      <c r="F1670" s="53"/>
      <c r="G1670" s="53"/>
      <c r="H1670" s="53"/>
      <c r="I1670" s="36"/>
      <c r="J1670" s="54"/>
      <c r="K1670" s="152"/>
      <c r="L1670" s="164"/>
      <c r="M1670" s="263">
        <f>IF(B1670=0,0,VLOOKUP(B1670,MO,6,FALSE))</f>
        <v>0</v>
      </c>
      <c r="N1670" s="316">
        <f>ROUND(L1670*M1670,2)</f>
        <v>0</v>
      </c>
    </row>
    <row r="1671" spans="2:14" ht="20.100000000000001" customHeight="1">
      <c r="B1671" s="260"/>
      <c r="D1671" s="52" t="s">
        <v>122</v>
      </c>
      <c r="E1671" s="53"/>
      <c r="F1671" s="53"/>
      <c r="G1671" s="53"/>
      <c r="H1671" s="53"/>
      <c r="I1671" s="36"/>
      <c r="J1671" s="54"/>
      <c r="K1671" s="165">
        <v>0</v>
      </c>
      <c r="L1671" s="263">
        <f>N1669+N1670</f>
        <v>0</v>
      </c>
      <c r="M1671" s="164"/>
      <c r="N1671" s="316">
        <f>ROUND(L1671*K1671,2)</f>
        <v>0</v>
      </c>
    </row>
    <row r="1672" spans="2:14" ht="20.100000000000001" customHeight="1">
      <c r="D1672" s="167"/>
      <c r="E1672" s="59"/>
      <c r="F1672" s="168"/>
      <c r="G1672" s="168"/>
      <c r="H1672" s="159"/>
      <c r="I1672" s="236"/>
      <c r="J1672" s="169"/>
      <c r="K1672" s="162"/>
      <c r="L1672" s="163"/>
      <c r="M1672" s="62" t="s">
        <v>98</v>
      </c>
      <c r="N1672" s="437">
        <f>SUM(N1669:N1671)</f>
        <v>0</v>
      </c>
    </row>
    <row r="1673" spans="2:14" ht="3.95" customHeight="1">
      <c r="D1673" s="158"/>
      <c r="E1673" s="159"/>
      <c r="F1673" s="159"/>
      <c r="G1673" s="159"/>
      <c r="H1673" s="159"/>
      <c r="I1673" s="236"/>
      <c r="J1673" s="169"/>
      <c r="K1673" s="162"/>
      <c r="L1673" s="163"/>
      <c r="M1673" s="163"/>
      <c r="N1673" s="300"/>
    </row>
    <row r="1674" spans="2:14" ht="20.100000000000001" customHeight="1">
      <c r="D1674" s="170"/>
      <c r="E1674" s="168"/>
      <c r="F1674" s="168"/>
      <c r="G1674" s="168"/>
      <c r="H1674" s="171"/>
      <c r="I1674" s="237"/>
      <c r="J1674" s="171"/>
      <c r="K1674" s="509" t="s">
        <v>99</v>
      </c>
      <c r="L1674" s="510"/>
      <c r="M1674" s="511"/>
      <c r="N1674" s="439">
        <f>+N1666+N1672</f>
        <v>0</v>
      </c>
    </row>
    <row r="1675" spans="2:14" ht="3.95" customHeight="1">
      <c r="D1675" s="172"/>
      <c r="E1675" s="159"/>
      <c r="F1675" s="159"/>
      <c r="G1675" s="160"/>
      <c r="H1675" s="159"/>
      <c r="I1675" s="236"/>
      <c r="J1675" s="161"/>
      <c r="K1675" s="162"/>
      <c r="L1675" s="163"/>
      <c r="M1675" s="163"/>
      <c r="N1675" s="300"/>
    </row>
    <row r="1676" spans="2:14" ht="20.100000000000001" customHeight="1">
      <c r="D1676" s="167"/>
      <c r="E1676" s="509" t="s">
        <v>100</v>
      </c>
      <c r="F1676" s="510"/>
      <c r="G1676" s="510"/>
      <c r="H1676" s="511"/>
      <c r="I1676" s="238">
        <v>1</v>
      </c>
      <c r="J1676" s="163"/>
      <c r="K1676" s="506" t="s">
        <v>101</v>
      </c>
      <c r="L1676" s="507"/>
      <c r="M1676" s="508"/>
      <c r="N1676" s="440">
        <f>ROUND(N1674/I1676,2)</f>
        <v>0</v>
      </c>
    </row>
    <row r="1677" spans="2:14" ht="3.95" customHeight="1">
      <c r="D1677" s="158"/>
      <c r="E1677" s="159"/>
      <c r="F1677" s="159"/>
      <c r="G1677" s="173"/>
      <c r="H1677" s="159"/>
      <c r="I1677" s="163"/>
      <c r="J1677" s="161"/>
      <c r="K1677" s="161"/>
      <c r="L1677" s="163"/>
      <c r="M1677" s="161"/>
      <c r="N1677" s="305"/>
    </row>
    <row r="1678" spans="2:14" ht="20.100000000000001" customHeight="1">
      <c r="D1678" s="49" t="s">
        <v>102</v>
      </c>
      <c r="E1678" s="22"/>
      <c r="F1678" s="22"/>
      <c r="G1678" s="22"/>
      <c r="H1678" s="22"/>
      <c r="I1678" s="141"/>
      <c r="J1678" s="23"/>
      <c r="K1678" s="50" t="s">
        <v>103</v>
      </c>
      <c r="L1678" s="51" t="s">
        <v>80</v>
      </c>
      <c r="M1678" s="51" t="s">
        <v>104</v>
      </c>
      <c r="N1678" s="272" t="s">
        <v>105</v>
      </c>
    </row>
    <row r="1679" spans="2:14" ht="20.100000000000001" customHeight="1">
      <c r="B1679" s="260" t="s">
        <v>426</v>
      </c>
      <c r="D1679" s="52" t="str">
        <f>IF(B1679=0,0,VLOOKUP(B1679,MAT,3,FALSE))</f>
        <v>DEFENSA SEMI-MALEÁVEL SIMPLES (FORN. / IMPL.)</v>
      </c>
      <c r="E1679" s="53"/>
      <c r="F1679" s="53"/>
      <c r="G1679" s="53"/>
      <c r="H1679" s="53"/>
      <c r="I1679" s="36"/>
      <c r="J1679" s="54"/>
      <c r="K1679" s="66" t="str">
        <f>IF(B1679=0,0,VLOOKUP(B1679,MAT,5,FALSE))</f>
        <v>M</v>
      </c>
      <c r="L1679" s="55">
        <f>IF(B1679=0,0,VLOOKUP(B1679,MAT,6,FALSE))</f>
        <v>142.94</v>
      </c>
      <c r="M1679" s="321">
        <v>900</v>
      </c>
      <c r="N1679" s="301">
        <f>ROUND(L1679*M1679,2)</f>
        <v>128646</v>
      </c>
    </row>
    <row r="1680" spans="2:14" ht="20.100000000000001" customHeight="1">
      <c r="B1680" s="260" t="s">
        <v>432</v>
      </c>
      <c r="D1680" s="52" t="str">
        <f>IF(B1680=0,0,VLOOKUP(B1680,MAT,3,FALSE))</f>
        <v>ANCORAGEM DEFENSA SEMI-MALEÁVEL SIMPLES (FORN. / IMPL.)</v>
      </c>
      <c r="E1680" s="53"/>
      <c r="F1680" s="53"/>
      <c r="G1680" s="53"/>
      <c r="H1680" s="53"/>
      <c r="I1680" s="36"/>
      <c r="J1680" s="54"/>
      <c r="K1680" s="66" t="str">
        <f>IF(B1680=0,0,VLOOKUP(B1680,MAT,5,FALSE))</f>
        <v>M</v>
      </c>
      <c r="L1680" s="55">
        <f>IF(B1680=0,0,VLOOKUP(B1680,MAT,6,FALSE))</f>
        <v>342.93</v>
      </c>
      <c r="M1680" s="321">
        <v>100</v>
      </c>
      <c r="N1680" s="301">
        <f>ROUND(L1680*M1680,2)</f>
        <v>34293</v>
      </c>
    </row>
    <row r="1681" spans="2:15" ht="20.100000000000001" customHeight="1">
      <c r="B1681" s="260"/>
      <c r="D1681" s="52"/>
      <c r="E1681" s="53"/>
      <c r="F1681" s="53"/>
      <c r="G1681" s="53"/>
      <c r="H1681" s="53"/>
      <c r="I1681" s="36"/>
      <c r="J1681" s="54"/>
      <c r="K1681" s="66"/>
      <c r="L1681" s="67"/>
      <c r="M1681" s="174"/>
      <c r="N1681" s="301">
        <f>ROUND(L1681*M1681,2)</f>
        <v>0</v>
      </c>
    </row>
    <row r="1682" spans="2:15" ht="20.100000000000001" customHeight="1">
      <c r="D1682" s="158"/>
      <c r="E1682" s="159"/>
      <c r="F1682" s="159"/>
      <c r="G1682" s="173"/>
      <c r="H1682" s="159"/>
      <c r="I1682" s="163"/>
      <c r="J1682" s="161"/>
      <c r="K1682" s="161"/>
      <c r="L1682" s="163"/>
      <c r="M1682" s="71" t="s">
        <v>106</v>
      </c>
      <c r="N1682" s="302">
        <f>SUM(N1679:N1681)</f>
        <v>162939</v>
      </c>
    </row>
    <row r="1683" spans="2:15" ht="20.100000000000001" customHeight="1">
      <c r="D1683" s="158"/>
      <c r="E1683" s="159"/>
      <c r="F1683" s="159"/>
      <c r="G1683" s="173"/>
      <c r="H1683" s="159"/>
      <c r="I1683" s="163"/>
      <c r="J1683" s="161"/>
      <c r="K1683" s="161"/>
      <c r="L1683" s="163"/>
      <c r="M1683" s="161"/>
      <c r="N1683" s="305"/>
    </row>
    <row r="1684" spans="2:15" ht="20.100000000000001" customHeight="1">
      <c r="D1684" s="527" t="s">
        <v>107</v>
      </c>
      <c r="E1684" s="72" t="s">
        <v>2</v>
      </c>
      <c r="F1684" s="73"/>
      <c r="G1684" s="73"/>
      <c r="H1684" s="74"/>
      <c r="I1684" s="498" t="s">
        <v>108</v>
      </c>
      <c r="J1684" s="499"/>
      <c r="K1684" s="531" t="s">
        <v>103</v>
      </c>
      <c r="L1684" s="514" t="s">
        <v>80</v>
      </c>
      <c r="M1684" s="531" t="s">
        <v>109</v>
      </c>
      <c r="N1684" s="529" t="s">
        <v>105</v>
      </c>
    </row>
    <row r="1685" spans="2:15" ht="20.100000000000001" customHeight="1">
      <c r="D1685" s="528"/>
      <c r="E1685" s="512" t="s">
        <v>110</v>
      </c>
      <c r="F1685" s="513"/>
      <c r="G1685" s="512" t="s">
        <v>111</v>
      </c>
      <c r="H1685" s="513"/>
      <c r="I1685" s="500"/>
      <c r="J1685" s="501"/>
      <c r="K1685" s="532"/>
      <c r="L1685" s="515"/>
      <c r="M1685" s="532"/>
      <c r="N1685" s="530"/>
    </row>
    <row r="1686" spans="2:15" ht="21" customHeight="1">
      <c r="B1686" s="260"/>
      <c r="D1686" s="268">
        <f>IF(B1686=0,0,VLOOKUP(B1686,TRANS,3,FALSE))</f>
        <v>0</v>
      </c>
      <c r="E1686" s="581">
        <f>IF(B1686=0,0,VLOOKUP(B1686,TRANS,5,FALSE))</f>
        <v>0</v>
      </c>
      <c r="F1686" s="582"/>
      <c r="G1686" s="577"/>
      <c r="H1686" s="578"/>
      <c r="I1686" s="581"/>
      <c r="J1686" s="582"/>
      <c r="K1686" s="262">
        <f>IF(B1686=0,0,VLOOKUP(B1686,TRANS,4,FALSE))</f>
        <v>0</v>
      </c>
      <c r="L1686" s="267">
        <f>E1686*I1686</f>
        <v>0</v>
      </c>
      <c r="M1686" s="267"/>
      <c r="N1686" s="317">
        <f>ROUND(L1686*M1686,2)</f>
        <v>0</v>
      </c>
    </row>
    <row r="1687" spans="2:15" ht="21" customHeight="1">
      <c r="B1687" s="260"/>
      <c r="D1687" s="268">
        <f>IF(B1687=0,0,VLOOKUP(B1687,TRANS,3,FALSE))</f>
        <v>0</v>
      </c>
      <c r="E1687" s="581">
        <f>IF(B1687=0,0,VLOOKUP(B1687,TRANS,5,FALSE))</f>
        <v>0</v>
      </c>
      <c r="F1687" s="582"/>
      <c r="G1687" s="577"/>
      <c r="H1687" s="578"/>
      <c r="I1687" s="581"/>
      <c r="J1687" s="582"/>
      <c r="K1687" s="262">
        <f>IF(B1687=0,0,VLOOKUP(B1687,TRANS,4,FALSE))</f>
        <v>0</v>
      </c>
      <c r="L1687" s="267">
        <f>E1687*I1687</f>
        <v>0</v>
      </c>
      <c r="M1687" s="267"/>
      <c r="N1687" s="317">
        <f>ROUND(L1687*M1687,2)</f>
        <v>0</v>
      </c>
    </row>
    <row r="1688" spans="2:15" ht="21" customHeight="1">
      <c r="B1688" s="260"/>
      <c r="D1688" s="268"/>
      <c r="E1688" s="504"/>
      <c r="F1688" s="505"/>
      <c r="G1688" s="502"/>
      <c r="H1688" s="503"/>
      <c r="I1688" s="533"/>
      <c r="J1688" s="534"/>
      <c r="K1688" s="66"/>
      <c r="L1688" s="67"/>
      <c r="M1688" s="70"/>
      <c r="N1688" s="317">
        <f>ROUND(L1688*M1688,2)</f>
        <v>0</v>
      </c>
    </row>
    <row r="1689" spans="2:15" ht="20.100000000000001" customHeight="1">
      <c r="D1689" s="175"/>
      <c r="E1689" s="176"/>
      <c r="F1689" s="159"/>
      <c r="G1689" s="173"/>
      <c r="H1689" s="159"/>
      <c r="I1689" s="163"/>
      <c r="J1689" s="161"/>
      <c r="K1689" s="161"/>
      <c r="L1689" s="163"/>
      <c r="M1689" s="71" t="s">
        <v>112</v>
      </c>
      <c r="N1689" s="437">
        <f>SUM(N1686:N1688)</f>
        <v>0</v>
      </c>
    </row>
    <row r="1690" spans="2:15" ht="3.95" customHeight="1" thickBot="1">
      <c r="D1690" s="175"/>
      <c r="E1690" s="159"/>
      <c r="F1690" s="173"/>
      <c r="G1690" s="159"/>
      <c r="H1690" s="161"/>
      <c r="I1690" s="163"/>
      <c r="J1690" s="161"/>
      <c r="K1690" s="161"/>
      <c r="L1690" s="163"/>
      <c r="M1690" s="161"/>
      <c r="N1690" s="305"/>
    </row>
    <row r="1691" spans="2:15" ht="20.100000000000001" customHeight="1">
      <c r="D1691" s="177"/>
      <c r="E1691" s="178"/>
      <c r="F1691" s="178"/>
      <c r="G1691" s="178"/>
      <c r="H1691" s="179"/>
      <c r="I1691" s="239"/>
      <c r="J1691" s="127" t="s">
        <v>114</v>
      </c>
      <c r="K1691" s="128"/>
      <c r="L1691" s="306"/>
      <c r="M1691" s="129">
        <v>0.02</v>
      </c>
      <c r="N1691" s="307">
        <f>(+N1676+N1682+N1689)*M1691</f>
        <v>3258.78</v>
      </c>
    </row>
    <row r="1692" spans="2:15" ht="20.100000000000001" customHeight="1" thickBot="1">
      <c r="D1692" s="180"/>
      <c r="E1692" s="181"/>
      <c r="F1692" s="181"/>
      <c r="G1692" s="181"/>
      <c r="H1692" s="181"/>
      <c r="I1692" s="240"/>
      <c r="J1692" s="537" t="s">
        <v>149</v>
      </c>
      <c r="K1692" s="538"/>
      <c r="L1692" s="538"/>
      <c r="M1692" s="538"/>
      <c r="N1692" s="308">
        <f>+N1677+N1682+N1689+N1691</f>
        <v>166197.78</v>
      </c>
    </row>
    <row r="1693" spans="2:15" ht="20.100000000000001" customHeight="1" thickBot="1">
      <c r="D1693" s="182"/>
      <c r="E1693" s="183"/>
      <c r="F1693" s="183"/>
      <c r="G1693" s="183"/>
      <c r="H1693" s="183"/>
      <c r="I1693" s="241"/>
      <c r="J1693" s="184" t="s">
        <v>158</v>
      </c>
      <c r="K1693" s="185"/>
      <c r="L1693" s="309"/>
      <c r="M1693" s="186">
        <f>DI</f>
        <v>0.26700000000000002</v>
      </c>
      <c r="N1693" s="310">
        <f>(M1693*N1692)+N1692</f>
        <v>210572.58726</v>
      </c>
    </row>
    <row r="1694" spans="2:15" s="204" customFormat="1" ht="18">
      <c r="B1694" s="207"/>
      <c r="C1694" s="207"/>
      <c r="H1694" s="208"/>
      <c r="I1694" s="245"/>
      <c r="J1694" s="208"/>
      <c r="K1694" s="208"/>
      <c r="L1694" s="245"/>
      <c r="M1694" s="208"/>
      <c r="N1694" s="245"/>
      <c r="O1694" s="394"/>
    </row>
    <row r="1695" spans="2:15" s="204" customFormat="1" ht="18">
      <c r="B1695" s="207"/>
      <c r="C1695" s="207"/>
      <c r="H1695" s="208"/>
      <c r="I1695" s="245"/>
      <c r="J1695" s="208"/>
      <c r="K1695" s="208"/>
      <c r="L1695" s="245"/>
      <c r="M1695" s="208"/>
      <c r="N1695" s="245"/>
      <c r="O1695" s="394"/>
    </row>
    <row r="1696" spans="2:15" s="204" customFormat="1" ht="18">
      <c r="B1696" s="207"/>
      <c r="C1696" s="207"/>
      <c r="H1696" s="208"/>
      <c r="I1696" s="245"/>
      <c r="J1696" s="208"/>
      <c r="K1696" s="208"/>
      <c r="L1696" s="245"/>
      <c r="M1696" s="208"/>
      <c r="N1696" s="245"/>
      <c r="O1696" s="394"/>
    </row>
    <row r="1697" spans="2:15" s="205" customFormat="1" ht="14.85" customHeight="1" thickBot="1">
      <c r="B1697" s="203"/>
      <c r="C1697" s="203"/>
      <c r="D1697" s="206"/>
      <c r="E1697" s="191"/>
      <c r="F1697" s="191"/>
      <c r="G1697" s="191"/>
      <c r="H1697" s="190"/>
      <c r="I1697" s="244"/>
      <c r="J1697" s="191"/>
      <c r="K1697" s="191"/>
      <c r="L1697" s="244"/>
      <c r="M1697" s="191"/>
      <c r="N1697" s="244"/>
      <c r="O1697" s="394"/>
    </row>
    <row r="1698" spans="2:15" ht="20.100000000000001" customHeight="1">
      <c r="B1698" s="197" t="s">
        <v>218</v>
      </c>
      <c r="D1698" s="520"/>
      <c r="E1698" s="521"/>
      <c r="F1698" s="524" t="s">
        <v>74</v>
      </c>
      <c r="G1698" s="525"/>
      <c r="H1698" s="525"/>
      <c r="I1698" s="525"/>
      <c r="J1698" s="525"/>
      <c r="K1698" s="525"/>
      <c r="L1698" s="526"/>
      <c r="M1698" s="19" t="s">
        <v>75</v>
      </c>
      <c r="N1698" s="20" t="s">
        <v>76</v>
      </c>
    </row>
    <row r="1699" spans="2:15" ht="20.100000000000001" customHeight="1">
      <c r="D1699" s="522"/>
      <c r="E1699" s="523"/>
      <c r="F1699" s="512" t="str">
        <f>VLOOKUP(B1698,Resumo_Composições,3,FALSE)</f>
        <v>IMPLANTAÇÃO DE DEFENSA METÁLICA</v>
      </c>
      <c r="G1699" s="519"/>
      <c r="H1699" s="519"/>
      <c r="I1699" s="519"/>
      <c r="J1699" s="519"/>
      <c r="K1699" s="519"/>
      <c r="L1699" s="513"/>
      <c r="M1699" s="24" t="str">
        <f>VLOOKUP(B1698,Resumo_Composições,4,FALSE)</f>
        <v>KM</v>
      </c>
      <c r="N1699" s="25">
        <f>DATA</f>
        <v>41214</v>
      </c>
    </row>
    <row r="1700" spans="2:15" ht="20.100000000000001" customHeight="1">
      <c r="D1700" s="26" t="s">
        <v>77</v>
      </c>
      <c r="E1700" s="27"/>
      <c r="F1700" s="27"/>
      <c r="G1700" s="27"/>
      <c r="H1700" s="28"/>
      <c r="I1700" s="214" t="s">
        <v>78</v>
      </c>
      <c r="J1700" s="509" t="s">
        <v>79</v>
      </c>
      <c r="K1700" s="511"/>
      <c r="L1700" s="535" t="s">
        <v>80</v>
      </c>
      <c r="M1700" s="536"/>
      <c r="N1700" s="516" t="s">
        <v>81</v>
      </c>
    </row>
    <row r="1701" spans="2:15" ht="20.100000000000001" customHeight="1">
      <c r="D1701" s="31"/>
      <c r="E1701" s="32"/>
      <c r="F1701" s="32"/>
      <c r="G1701" s="32"/>
      <c r="H1701" s="33"/>
      <c r="I1701" s="34"/>
      <c r="J1701" s="51" t="s">
        <v>82</v>
      </c>
      <c r="K1701" s="51" t="s">
        <v>83</v>
      </c>
      <c r="L1701" s="51" t="s">
        <v>82</v>
      </c>
      <c r="M1701" s="51" t="s">
        <v>84</v>
      </c>
      <c r="N1701" s="517"/>
    </row>
    <row r="1702" spans="2:15" ht="20.100000000000001" customHeight="1">
      <c r="B1702" s="260" t="s">
        <v>272</v>
      </c>
      <c r="D1702" s="264" t="str">
        <f t="shared" ref="D1702:D1708" si="93">IF(B1702=0,0,VLOOKUP(B1702,EQUIP,3,FALSE))</f>
        <v>COMPRESSOR DE AR (59KW)</v>
      </c>
      <c r="E1702" s="265"/>
      <c r="F1702" s="265"/>
      <c r="G1702" s="265"/>
      <c r="H1702" s="266"/>
      <c r="I1702" s="436">
        <v>1</v>
      </c>
      <c r="J1702" s="436">
        <v>1</v>
      </c>
      <c r="K1702" s="435">
        <f>1-J1702</f>
        <v>0</v>
      </c>
      <c r="L1702" s="436">
        <f t="shared" ref="L1702:L1708" si="94">IF(B1702=0,0,VLOOKUP(B1702,EQUIP,6,FALSE))</f>
        <v>50.66</v>
      </c>
      <c r="M1702" s="436">
        <f t="shared" ref="M1702:M1708" si="95">IF(B1702=0,0,VLOOKUP(B1702,EQUIP,7,FALSE))</f>
        <v>17.27</v>
      </c>
      <c r="N1702" s="319">
        <f t="shared" ref="N1702:N1708" si="96">ROUND(I1702*J1702*L1702+I1702*K1702*M1702,2)</f>
        <v>50.66</v>
      </c>
    </row>
    <row r="1703" spans="2:15" ht="20.100000000000001" customHeight="1">
      <c r="B1703" s="260" t="s">
        <v>438</v>
      </c>
      <c r="D1703" s="264" t="str">
        <f t="shared" si="93"/>
        <v>MARTELETE - ROMPEDOR 33KG</v>
      </c>
      <c r="E1703" s="265"/>
      <c r="F1703" s="265"/>
      <c r="G1703" s="265"/>
      <c r="H1703" s="266"/>
      <c r="I1703" s="411">
        <v>1</v>
      </c>
      <c r="J1703" s="411">
        <v>1</v>
      </c>
      <c r="K1703" s="435">
        <f>1-J1703</f>
        <v>0</v>
      </c>
      <c r="L1703" s="436">
        <f t="shared" si="94"/>
        <v>16.079999999999998</v>
      </c>
      <c r="M1703" s="436">
        <f t="shared" si="95"/>
        <v>15.35</v>
      </c>
      <c r="N1703" s="319">
        <f t="shared" si="96"/>
        <v>16.079999999999998</v>
      </c>
    </row>
    <row r="1704" spans="2:15" ht="20.100000000000001" customHeight="1">
      <c r="B1704" s="260" t="s">
        <v>259</v>
      </c>
      <c r="D1704" s="264" t="str">
        <f t="shared" si="93"/>
        <v>CAMINHÃO  CARROCERIA 4T (80 KW)</v>
      </c>
      <c r="E1704" s="265"/>
      <c r="F1704" s="265"/>
      <c r="G1704" s="265"/>
      <c r="H1704" s="266"/>
      <c r="I1704" s="436">
        <v>1</v>
      </c>
      <c r="J1704" s="436">
        <v>0.6</v>
      </c>
      <c r="K1704" s="436">
        <f>1-J1704</f>
        <v>0.4</v>
      </c>
      <c r="L1704" s="436">
        <f t="shared" si="94"/>
        <v>101.47</v>
      </c>
      <c r="M1704" s="436">
        <f t="shared" si="95"/>
        <v>20.47</v>
      </c>
      <c r="N1704" s="319">
        <f t="shared" si="96"/>
        <v>69.069999999999993</v>
      </c>
    </row>
    <row r="1705" spans="2:15" ht="20.100000000000001" customHeight="1">
      <c r="B1705" s="260"/>
      <c r="D1705" s="264">
        <f t="shared" si="93"/>
        <v>0</v>
      </c>
      <c r="E1705" s="265"/>
      <c r="F1705" s="265"/>
      <c r="G1705" s="265"/>
      <c r="H1705" s="266"/>
      <c r="I1705" s="263"/>
      <c r="J1705" s="263"/>
      <c r="K1705" s="318"/>
      <c r="L1705" s="318">
        <f t="shared" si="94"/>
        <v>0</v>
      </c>
      <c r="M1705" s="318">
        <f t="shared" si="95"/>
        <v>0</v>
      </c>
      <c r="N1705" s="319">
        <f t="shared" si="96"/>
        <v>0</v>
      </c>
    </row>
    <row r="1706" spans="2:15" ht="20.100000000000001" customHeight="1">
      <c r="B1706" s="260"/>
      <c r="D1706" s="264">
        <f t="shared" si="93"/>
        <v>0</v>
      </c>
      <c r="E1706" s="265"/>
      <c r="F1706" s="265"/>
      <c r="G1706" s="265"/>
      <c r="H1706" s="266"/>
      <c r="I1706" s="263"/>
      <c r="J1706" s="263"/>
      <c r="K1706" s="318"/>
      <c r="L1706" s="318">
        <f t="shared" si="94"/>
        <v>0</v>
      </c>
      <c r="M1706" s="318">
        <f t="shared" si="95"/>
        <v>0</v>
      </c>
      <c r="N1706" s="319">
        <f t="shared" si="96"/>
        <v>0</v>
      </c>
    </row>
    <row r="1707" spans="2:15" ht="20.100000000000001" customHeight="1">
      <c r="B1707" s="260"/>
      <c r="D1707" s="264">
        <f t="shared" si="93"/>
        <v>0</v>
      </c>
      <c r="E1707" s="265"/>
      <c r="F1707" s="265"/>
      <c r="G1707" s="265"/>
      <c r="H1707" s="266"/>
      <c r="I1707" s="263"/>
      <c r="J1707" s="318"/>
      <c r="K1707" s="318"/>
      <c r="L1707" s="318">
        <f t="shared" si="94"/>
        <v>0</v>
      </c>
      <c r="M1707" s="318">
        <f t="shared" si="95"/>
        <v>0</v>
      </c>
      <c r="N1707" s="319">
        <f t="shared" si="96"/>
        <v>0</v>
      </c>
    </row>
    <row r="1708" spans="2:15" ht="20.100000000000001" customHeight="1">
      <c r="B1708" s="260"/>
      <c r="D1708" s="264">
        <f t="shared" si="93"/>
        <v>0</v>
      </c>
      <c r="E1708" s="265"/>
      <c r="F1708" s="265"/>
      <c r="G1708" s="265"/>
      <c r="H1708" s="266"/>
      <c r="I1708" s="263"/>
      <c r="J1708" s="318"/>
      <c r="K1708" s="318"/>
      <c r="L1708" s="318">
        <f t="shared" si="94"/>
        <v>0</v>
      </c>
      <c r="M1708" s="318">
        <f t="shared" si="95"/>
        <v>0</v>
      </c>
      <c r="N1708" s="319">
        <f t="shared" si="96"/>
        <v>0</v>
      </c>
    </row>
    <row r="1709" spans="2:15" ht="20.100000000000001" customHeight="1">
      <c r="D1709" s="155"/>
      <c r="E1709" s="156"/>
      <c r="F1709" s="156"/>
      <c r="G1709" s="156"/>
      <c r="H1709" s="156"/>
      <c r="I1709" s="235"/>
      <c r="J1709" s="157"/>
      <c r="K1709" s="157"/>
      <c r="L1709" s="216"/>
      <c r="M1709" s="42" t="s">
        <v>89</v>
      </c>
      <c r="N1709" s="270">
        <f>SUM(N1702:N1708)</f>
        <v>135.81</v>
      </c>
    </row>
    <row r="1710" spans="2:15" ht="3.95" customHeight="1">
      <c r="D1710" s="158"/>
      <c r="E1710" s="159"/>
      <c r="F1710" s="159"/>
      <c r="G1710" s="160"/>
      <c r="H1710" s="159"/>
      <c r="I1710" s="236"/>
      <c r="J1710" s="161"/>
      <c r="K1710" s="162"/>
      <c r="L1710" s="163"/>
      <c r="M1710" s="163"/>
      <c r="N1710" s="300"/>
    </row>
    <row r="1711" spans="2:15" ht="20.100000000000001" customHeight="1">
      <c r="D1711" s="518" t="s">
        <v>90</v>
      </c>
      <c r="E1711" s="519"/>
      <c r="F1711" s="519"/>
      <c r="G1711" s="519"/>
      <c r="H1711" s="519"/>
      <c r="I1711" s="519"/>
      <c r="J1711" s="513"/>
      <c r="K1711" s="50" t="s">
        <v>91</v>
      </c>
      <c r="L1711" s="51" t="s">
        <v>92</v>
      </c>
      <c r="M1711" s="51" t="s">
        <v>93</v>
      </c>
      <c r="N1711" s="272" t="s">
        <v>94</v>
      </c>
    </row>
    <row r="1712" spans="2:15" ht="20.100000000000001" customHeight="1">
      <c r="B1712" s="260" t="s">
        <v>247</v>
      </c>
      <c r="D1712" s="264" t="str">
        <f>IF(B1712=0,0,VLOOKUP(B1712,MO,2,FALSE))</f>
        <v>ENCARREGADO DE TURMA</v>
      </c>
      <c r="E1712" s="53"/>
      <c r="F1712" s="53"/>
      <c r="G1712" s="53"/>
      <c r="H1712" s="53"/>
      <c r="I1712" s="36"/>
      <c r="J1712" s="54"/>
      <c r="K1712" s="152"/>
      <c r="L1712" s="164">
        <v>1</v>
      </c>
      <c r="M1712" s="263">
        <f>IF(B1712=0,0,VLOOKUP(B1712,MO,6,FALSE))</f>
        <v>27</v>
      </c>
      <c r="N1712" s="316">
        <f>ROUND(L1712*M1712,2)</f>
        <v>27</v>
      </c>
    </row>
    <row r="1713" spans="2:14" ht="20.100000000000001" customHeight="1">
      <c r="B1713" s="260" t="s">
        <v>441</v>
      </c>
      <c r="D1713" s="264" t="str">
        <f>IF(B1713=0,0,VLOOKUP(B1713,MO,2,FALSE))</f>
        <v>MONTADOR</v>
      </c>
      <c r="E1713" s="53"/>
      <c r="F1713" s="53"/>
      <c r="G1713" s="53"/>
      <c r="H1713" s="53"/>
      <c r="I1713" s="36"/>
      <c r="J1713" s="54"/>
      <c r="K1713" s="152"/>
      <c r="L1713" s="164">
        <v>2</v>
      </c>
      <c r="M1713" s="263">
        <f>IF(B1713=0,0,VLOOKUP(B1713,MO,6,FALSE))</f>
        <v>12.6043</v>
      </c>
      <c r="N1713" s="316">
        <f>ROUND(L1713*M1713,2)</f>
        <v>25.21</v>
      </c>
    </row>
    <row r="1714" spans="2:14" ht="20.100000000000001" customHeight="1">
      <c r="B1714" s="260" t="s">
        <v>248</v>
      </c>
      <c r="D1714" s="264" t="str">
        <f>IF(B1714=0,0,VLOOKUP(B1714,MO,2,FALSE))</f>
        <v>SERVENTE</v>
      </c>
      <c r="E1714" s="53"/>
      <c r="F1714" s="53"/>
      <c r="G1714" s="53"/>
      <c r="H1714" s="53"/>
      <c r="I1714" s="36"/>
      <c r="J1714" s="54"/>
      <c r="K1714" s="152"/>
      <c r="L1714" s="164">
        <v>4</v>
      </c>
      <c r="M1714" s="263">
        <f>IF(B1714=0,0,VLOOKUP(B1714,MO,6,FALSE))</f>
        <v>7.9973000000000001</v>
      </c>
      <c r="N1714" s="316">
        <f>ROUND(L1714*M1714,2)</f>
        <v>31.99</v>
      </c>
    </row>
    <row r="1715" spans="2:14" ht="20.100000000000001" customHeight="1">
      <c r="B1715" s="260"/>
      <c r="D1715" s="52" t="s">
        <v>122</v>
      </c>
      <c r="E1715" s="53"/>
      <c r="F1715" s="53"/>
      <c r="G1715" s="53"/>
      <c r="H1715" s="53"/>
      <c r="I1715" s="36"/>
      <c r="J1715" s="54"/>
      <c r="K1715" s="165">
        <v>0.05</v>
      </c>
      <c r="L1715" s="438">
        <f>N1712+N1713</f>
        <v>52.21</v>
      </c>
      <c r="M1715" s="164"/>
      <c r="N1715" s="316">
        <f>ROUND(L1715*K1715,2)</f>
        <v>2.61</v>
      </c>
    </row>
    <row r="1716" spans="2:14" ht="20.100000000000001" customHeight="1">
      <c r="D1716" s="167"/>
      <c r="E1716" s="59"/>
      <c r="F1716" s="168"/>
      <c r="G1716" s="168"/>
      <c r="H1716" s="159"/>
      <c r="I1716" s="236"/>
      <c r="J1716" s="169"/>
      <c r="K1716" s="162"/>
      <c r="L1716" s="163"/>
      <c r="M1716" s="62" t="s">
        <v>98</v>
      </c>
      <c r="N1716" s="302">
        <f>SUM(N1712:N1715)</f>
        <v>86.81</v>
      </c>
    </row>
    <row r="1717" spans="2:14" ht="3.95" customHeight="1">
      <c r="D1717" s="158"/>
      <c r="E1717" s="159"/>
      <c r="F1717" s="159"/>
      <c r="G1717" s="159"/>
      <c r="H1717" s="159"/>
      <c r="I1717" s="236"/>
      <c r="J1717" s="169"/>
      <c r="K1717" s="162"/>
      <c r="L1717" s="163"/>
      <c r="M1717" s="163"/>
      <c r="N1717" s="300"/>
    </row>
    <row r="1718" spans="2:14" ht="20.100000000000001" customHeight="1">
      <c r="D1718" s="170"/>
      <c r="E1718" s="168"/>
      <c r="F1718" s="168"/>
      <c r="G1718" s="168"/>
      <c r="H1718" s="171"/>
      <c r="I1718" s="237"/>
      <c r="J1718" s="171"/>
      <c r="K1718" s="509" t="s">
        <v>99</v>
      </c>
      <c r="L1718" s="510"/>
      <c r="M1718" s="511"/>
      <c r="N1718" s="303">
        <f>+N1709+N1716</f>
        <v>222.62</v>
      </c>
    </row>
    <row r="1719" spans="2:14" ht="3.95" customHeight="1">
      <c r="D1719" s="172"/>
      <c r="E1719" s="159"/>
      <c r="F1719" s="159"/>
      <c r="G1719" s="160"/>
      <c r="H1719" s="159"/>
      <c r="I1719" s="236"/>
      <c r="J1719" s="161"/>
      <c r="K1719" s="162"/>
      <c r="L1719" s="163"/>
      <c r="M1719" s="163"/>
      <c r="N1719" s="300"/>
    </row>
    <row r="1720" spans="2:14" ht="20.100000000000001" customHeight="1">
      <c r="D1720" s="167"/>
      <c r="E1720" s="509" t="s">
        <v>100</v>
      </c>
      <c r="F1720" s="510"/>
      <c r="G1720" s="510"/>
      <c r="H1720" s="511"/>
      <c r="I1720" s="238">
        <v>0.03</v>
      </c>
      <c r="J1720" s="163"/>
      <c r="K1720" s="506" t="s">
        <v>101</v>
      </c>
      <c r="L1720" s="507"/>
      <c r="M1720" s="508"/>
      <c r="N1720" s="304">
        <f>ROUND(N1718/I1720,2)</f>
        <v>7420.67</v>
      </c>
    </row>
    <row r="1721" spans="2:14" ht="3.95" customHeight="1">
      <c r="D1721" s="158"/>
      <c r="E1721" s="159"/>
      <c r="F1721" s="159"/>
      <c r="G1721" s="173"/>
      <c r="H1721" s="159"/>
      <c r="I1721" s="163"/>
      <c r="J1721" s="161"/>
      <c r="K1721" s="161"/>
      <c r="L1721" s="163"/>
      <c r="M1721" s="161"/>
      <c r="N1721" s="305"/>
    </row>
    <row r="1722" spans="2:14" ht="20.100000000000001" customHeight="1">
      <c r="D1722" s="49" t="s">
        <v>102</v>
      </c>
      <c r="E1722" s="22"/>
      <c r="F1722" s="22"/>
      <c r="G1722" s="22"/>
      <c r="H1722" s="22"/>
      <c r="I1722" s="141"/>
      <c r="J1722" s="23"/>
      <c r="K1722" s="50" t="s">
        <v>103</v>
      </c>
      <c r="L1722" s="51" t="s">
        <v>80</v>
      </c>
      <c r="M1722" s="51" t="s">
        <v>104</v>
      </c>
      <c r="N1722" s="272" t="s">
        <v>105</v>
      </c>
    </row>
    <row r="1723" spans="2:14" ht="20.100000000000001" customHeight="1">
      <c r="B1723" s="260" t="s">
        <v>443</v>
      </c>
      <c r="D1723" s="264" t="str">
        <f>IF(B1723=0,0,VLOOKUP(B1723,MAT,3,FALSE))</f>
        <v>DEFENSA SEMI-MALEÁVEL SIMPLES</v>
      </c>
      <c r="E1723" s="53"/>
      <c r="F1723" s="53"/>
      <c r="G1723" s="53"/>
      <c r="H1723" s="53"/>
      <c r="I1723" s="36"/>
      <c r="J1723" s="54"/>
      <c r="K1723" s="262" t="str">
        <f>IF(B1723=0,0,VLOOKUP(B1723,MAT,5,FALSE))</f>
        <v>M</v>
      </c>
      <c r="L1723" s="411">
        <f>IF(B1723=0,0,VLOOKUP(B1723,MAT,6,FALSE))</f>
        <v>160.12</v>
      </c>
      <c r="M1723" s="321">
        <v>960</v>
      </c>
      <c r="N1723" s="316">
        <f>ROUND(L1723*M1723,2)</f>
        <v>153715.20000000001</v>
      </c>
    </row>
    <row r="1724" spans="2:14" ht="20.100000000000001" customHeight="1">
      <c r="B1724" s="260" t="s">
        <v>548</v>
      </c>
      <c r="D1724" s="264" t="str">
        <f>IF(B1724=0,0,VLOOKUP(B1724,MAT,3,FALSE))</f>
        <v>ANCORAGEM DEFENSA SEMI-MALEÁVEL SIMPLES</v>
      </c>
      <c r="E1724" s="53"/>
      <c r="F1724" s="53"/>
      <c r="G1724" s="53"/>
      <c r="H1724" s="53"/>
      <c r="I1724" s="36"/>
      <c r="J1724" s="54"/>
      <c r="K1724" s="262" t="str">
        <f>IF(B1724=0,0,VLOOKUP(B1724,MAT,5,FALSE))</f>
        <v>M</v>
      </c>
      <c r="L1724" s="411">
        <f>IF(B1724=0,0,VLOOKUP(B1724,MAT,6,FALSE))</f>
        <v>315.10000000000002</v>
      </c>
      <c r="M1724" s="321">
        <v>40</v>
      </c>
      <c r="N1724" s="316">
        <f>ROUND(L1724*M1724,2)</f>
        <v>12604</v>
      </c>
    </row>
    <row r="1725" spans="2:14" ht="20.100000000000001" customHeight="1">
      <c r="B1725" s="260"/>
      <c r="D1725" s="264">
        <f>IF(B1725=0,0,VLOOKUP(B1725,MAT,3,FALSE))</f>
        <v>0</v>
      </c>
      <c r="E1725" s="53"/>
      <c r="F1725" s="53"/>
      <c r="G1725" s="53"/>
      <c r="H1725" s="53"/>
      <c r="I1725" s="36"/>
      <c r="J1725" s="54"/>
      <c r="K1725" s="262">
        <f>IF(B1725=0,0,VLOOKUP(B1725,MAT,5,FALSE))</f>
        <v>0</v>
      </c>
      <c r="L1725" s="267">
        <f>IF(B1725=0,0,VLOOKUP(B1725,MAT,6,FALSE))</f>
        <v>0</v>
      </c>
      <c r="M1725" s="174"/>
      <c r="N1725" s="316">
        <f>ROUND(L1725*M1725,2)</f>
        <v>0</v>
      </c>
    </row>
    <row r="1726" spans="2:14" ht="20.100000000000001" customHeight="1">
      <c r="D1726" s="158"/>
      <c r="E1726" s="159"/>
      <c r="F1726" s="159"/>
      <c r="G1726" s="173"/>
      <c r="H1726" s="159"/>
      <c r="I1726" s="163"/>
      <c r="J1726" s="161"/>
      <c r="K1726" s="161"/>
      <c r="L1726" s="163"/>
      <c r="M1726" s="71" t="s">
        <v>106</v>
      </c>
      <c r="N1726" s="302">
        <f>SUM(N1723:N1725)</f>
        <v>166319.20000000001</v>
      </c>
    </row>
    <row r="1727" spans="2:14" ht="20.100000000000001" customHeight="1">
      <c r="D1727" s="158"/>
      <c r="E1727" s="159"/>
      <c r="F1727" s="159"/>
      <c r="G1727" s="173"/>
      <c r="H1727" s="159"/>
      <c r="I1727" s="163"/>
      <c r="J1727" s="161"/>
      <c r="K1727" s="161"/>
      <c r="L1727" s="163"/>
      <c r="M1727" s="161"/>
      <c r="N1727" s="305"/>
    </row>
    <row r="1728" spans="2:14" ht="20.100000000000001" customHeight="1">
      <c r="D1728" s="527" t="s">
        <v>107</v>
      </c>
      <c r="E1728" s="72" t="s">
        <v>2</v>
      </c>
      <c r="F1728" s="73"/>
      <c r="G1728" s="73"/>
      <c r="H1728" s="74"/>
      <c r="I1728" s="498" t="s">
        <v>108</v>
      </c>
      <c r="J1728" s="499"/>
      <c r="K1728" s="531" t="s">
        <v>103</v>
      </c>
      <c r="L1728" s="514" t="s">
        <v>80</v>
      </c>
      <c r="M1728" s="531" t="s">
        <v>109</v>
      </c>
      <c r="N1728" s="529" t="s">
        <v>105</v>
      </c>
    </row>
    <row r="1729" spans="2:15" ht="20.100000000000001" customHeight="1">
      <c r="D1729" s="528"/>
      <c r="E1729" s="512" t="s">
        <v>110</v>
      </c>
      <c r="F1729" s="513"/>
      <c r="G1729" s="512" t="s">
        <v>111</v>
      </c>
      <c r="H1729" s="513"/>
      <c r="I1729" s="500"/>
      <c r="J1729" s="501"/>
      <c r="K1729" s="532"/>
      <c r="L1729" s="515"/>
      <c r="M1729" s="532"/>
      <c r="N1729" s="530"/>
    </row>
    <row r="1730" spans="2:15" ht="20.100000000000001" customHeight="1">
      <c r="B1730" s="260"/>
      <c r="D1730" s="261">
        <f>IF(B1730=0,0,VLOOKUP(B1730,TRANS,3,FALSE))</f>
        <v>0</v>
      </c>
      <c r="E1730" s="581">
        <f>IF(B1730=0,0,VLOOKUP(B1730,TRANS,5,FALSE))</f>
        <v>0</v>
      </c>
      <c r="F1730" s="582"/>
      <c r="G1730" s="502"/>
      <c r="H1730" s="503"/>
      <c r="I1730" s="533"/>
      <c r="J1730" s="534">
        <v>50</v>
      </c>
      <c r="K1730" s="262">
        <f>IF(B1730=0,0,VLOOKUP(B1730,TRANS,4,FALSE))</f>
        <v>0</v>
      </c>
      <c r="L1730" s="267">
        <f>E1730*I1730</f>
        <v>0</v>
      </c>
      <c r="M1730" s="70"/>
      <c r="N1730" s="317">
        <f>ROUND(L1730*M1730,2)</f>
        <v>0</v>
      </c>
    </row>
    <row r="1731" spans="2:15" ht="20.100000000000001" customHeight="1">
      <c r="B1731" s="260"/>
      <c r="D1731" s="261"/>
      <c r="E1731" s="504"/>
      <c r="F1731" s="505"/>
      <c r="G1731" s="502"/>
      <c r="H1731" s="503"/>
      <c r="I1731" s="533"/>
      <c r="J1731" s="534"/>
      <c r="K1731" s="66"/>
      <c r="L1731" s="67"/>
      <c r="M1731" s="70"/>
      <c r="N1731" s="278"/>
    </row>
    <row r="1732" spans="2:15" ht="20.100000000000001" customHeight="1">
      <c r="D1732" s="175"/>
      <c r="E1732" s="176"/>
      <c r="F1732" s="159"/>
      <c r="G1732" s="173"/>
      <c r="H1732" s="159"/>
      <c r="I1732" s="163"/>
      <c r="J1732" s="161"/>
      <c r="K1732" s="161"/>
      <c r="L1732" s="163"/>
      <c r="M1732" s="71" t="s">
        <v>112</v>
      </c>
      <c r="N1732" s="437">
        <f>SUM(N1730:N1731)</f>
        <v>0</v>
      </c>
    </row>
    <row r="1733" spans="2:15" ht="3.95" customHeight="1" thickBot="1">
      <c r="D1733" s="175"/>
      <c r="E1733" s="159"/>
      <c r="F1733" s="173"/>
      <c r="G1733" s="159"/>
      <c r="H1733" s="161"/>
      <c r="I1733" s="163"/>
      <c r="J1733" s="161"/>
      <c r="K1733" s="161"/>
      <c r="L1733" s="163"/>
      <c r="M1733" s="161"/>
      <c r="N1733" s="305"/>
    </row>
    <row r="1734" spans="2:15" ht="20.100000000000001" customHeight="1">
      <c r="D1734" s="177"/>
      <c r="E1734" s="178"/>
      <c r="F1734" s="178"/>
      <c r="G1734" s="178"/>
      <c r="H1734" s="179"/>
      <c r="I1734" s="239"/>
      <c r="J1734" s="127" t="s">
        <v>114</v>
      </c>
      <c r="K1734" s="128"/>
      <c r="L1734" s="306"/>
      <c r="M1734" s="129">
        <v>0.02</v>
      </c>
      <c r="N1734" s="307">
        <f>(+N1720+N1726+N1732)*M1734</f>
        <v>3474.7974000000004</v>
      </c>
    </row>
    <row r="1735" spans="2:15" ht="20.100000000000001" customHeight="1" thickBot="1">
      <c r="D1735" s="180"/>
      <c r="E1735" s="181"/>
      <c r="F1735" s="181"/>
      <c r="G1735" s="181"/>
      <c r="H1735" s="181"/>
      <c r="I1735" s="240"/>
      <c r="J1735" s="537" t="s">
        <v>149</v>
      </c>
      <c r="K1735" s="538"/>
      <c r="L1735" s="538"/>
      <c r="M1735" s="538"/>
      <c r="N1735" s="308">
        <f>+N1720+N1726+N1732+N1734</f>
        <v>177214.66740000003</v>
      </c>
    </row>
    <row r="1736" spans="2:15" ht="20.100000000000001" customHeight="1" thickBot="1">
      <c r="D1736" s="182"/>
      <c r="E1736" s="183"/>
      <c r="F1736" s="183"/>
      <c r="G1736" s="183"/>
      <c r="H1736" s="183"/>
      <c r="I1736" s="241"/>
      <c r="J1736" s="184" t="s">
        <v>158</v>
      </c>
      <c r="K1736" s="185"/>
      <c r="L1736" s="309"/>
      <c r="M1736" s="186">
        <f>DI</f>
        <v>0.26700000000000002</v>
      </c>
      <c r="N1736" s="310">
        <f>(M1736*N1735)+N1735</f>
        <v>224530.98359580006</v>
      </c>
    </row>
    <row r="1737" spans="2:15" s="205" customFormat="1" ht="14.85" customHeight="1">
      <c r="B1737" s="203"/>
      <c r="C1737" s="203"/>
      <c r="D1737" s="206"/>
      <c r="E1737" s="191"/>
      <c r="F1737" s="191"/>
      <c r="G1737" s="191"/>
      <c r="H1737" s="190"/>
      <c r="I1737" s="244"/>
      <c r="J1737" s="191"/>
      <c r="K1737" s="191"/>
      <c r="L1737" s="244"/>
      <c r="M1737" s="191"/>
      <c r="N1737" s="244"/>
      <c r="O1737" s="394"/>
    </row>
    <row r="1738" spans="2:15" s="205" customFormat="1" ht="14.85" customHeight="1">
      <c r="B1738" s="203"/>
      <c r="C1738" s="203"/>
      <c r="D1738" s="206"/>
      <c r="E1738" s="191"/>
      <c r="F1738" s="191"/>
      <c r="G1738" s="191"/>
      <c r="H1738" s="190"/>
      <c r="I1738" s="244"/>
      <c r="J1738" s="191"/>
      <c r="K1738" s="191"/>
      <c r="L1738" s="244"/>
      <c r="M1738" s="191"/>
      <c r="N1738" s="244"/>
      <c r="O1738" s="394"/>
    </row>
    <row r="1739" spans="2:15" s="205" customFormat="1" ht="14.85" customHeight="1">
      <c r="B1739" s="203"/>
      <c r="C1739" s="203"/>
      <c r="D1739" s="206"/>
      <c r="E1739" s="191"/>
      <c r="F1739" s="191"/>
      <c r="G1739" s="191"/>
      <c r="H1739" s="190"/>
      <c r="I1739" s="244"/>
      <c r="J1739" s="191"/>
      <c r="K1739" s="191"/>
      <c r="L1739" s="244"/>
      <c r="M1739" s="191"/>
      <c r="N1739" s="244"/>
      <c r="O1739" s="394"/>
    </row>
    <row r="1740" spans="2:15" s="192" customFormat="1" ht="20.100000000000001" customHeight="1">
      <c r="B1740" s="198"/>
      <c r="C1740" s="198"/>
      <c r="D1740" s="196"/>
      <c r="E1740" s="196"/>
      <c r="F1740" s="196"/>
      <c r="G1740" s="196"/>
      <c r="H1740" s="195"/>
      <c r="I1740" s="246"/>
      <c r="J1740" s="196"/>
      <c r="K1740" s="196"/>
      <c r="L1740" s="246"/>
      <c r="M1740" s="196"/>
      <c r="N1740" s="246"/>
      <c r="O1740" s="390"/>
    </row>
  </sheetData>
  <mergeCells count="1015">
    <mergeCell ref="E1731:F1731"/>
    <mergeCell ref="G1731:H1731"/>
    <mergeCell ref="I1731:J1731"/>
    <mergeCell ref="D995:E995"/>
    <mergeCell ref="K1001:M1001"/>
    <mergeCell ref="E1003:H1003"/>
    <mergeCell ref="K1003:M1003"/>
    <mergeCell ref="J1735:M1735"/>
    <mergeCell ref="D1698:E1699"/>
    <mergeCell ref="F1698:L1698"/>
    <mergeCell ref="F1699:L1699"/>
    <mergeCell ref="J1700:K1700"/>
    <mergeCell ref="L1700:M1700"/>
    <mergeCell ref="D1011:D1012"/>
    <mergeCell ref="I1011:J1012"/>
    <mergeCell ref="K1011:K1012"/>
    <mergeCell ref="L1011:L1012"/>
    <mergeCell ref="E1012:F1012"/>
    <mergeCell ref="G1012:H1012"/>
    <mergeCell ref="E1013:F1013"/>
    <mergeCell ref="G1013:H1013"/>
    <mergeCell ref="I1013:J1013"/>
    <mergeCell ref="E1014:F1014"/>
    <mergeCell ref="G1014:H1014"/>
    <mergeCell ref="I1014:J1014"/>
    <mergeCell ref="I1037:L1037"/>
    <mergeCell ref="D1054:E1054"/>
    <mergeCell ref="K1060:M1060"/>
    <mergeCell ref="E1062:H1062"/>
    <mergeCell ref="K1062:M1062"/>
    <mergeCell ref="I1015:J1015"/>
    <mergeCell ref="K1018:M1018"/>
    <mergeCell ref="N1728:N1729"/>
    <mergeCell ref="E1729:F1729"/>
    <mergeCell ref="G1729:H1729"/>
    <mergeCell ref="J1692:M1692"/>
    <mergeCell ref="D1711:J1711"/>
    <mergeCell ref="K1718:M1718"/>
    <mergeCell ref="D1728:D1729"/>
    <mergeCell ref="N1700:N1701"/>
    <mergeCell ref="M1728:M1729"/>
    <mergeCell ref="E1720:H1720"/>
    <mergeCell ref="K1720:M1720"/>
    <mergeCell ref="I1728:J1729"/>
    <mergeCell ref="K1728:K1729"/>
    <mergeCell ref="L1728:L1729"/>
    <mergeCell ref="E1730:F1730"/>
    <mergeCell ref="G1730:H1730"/>
    <mergeCell ref="I1730:J1730"/>
    <mergeCell ref="E1688:F1688"/>
    <mergeCell ref="G1688:H1688"/>
    <mergeCell ref="I1688:J1688"/>
    <mergeCell ref="E1686:F1686"/>
    <mergeCell ref="E1687:F1687"/>
    <mergeCell ref="G1687:H1687"/>
    <mergeCell ref="I1687:J1687"/>
    <mergeCell ref="G1647:H1647"/>
    <mergeCell ref="I1647:J1647"/>
    <mergeCell ref="K1676:M1676"/>
    <mergeCell ref="D1684:D1685"/>
    <mergeCell ref="D1657:E1658"/>
    <mergeCell ref="F1657:L1657"/>
    <mergeCell ref="F1658:L1658"/>
    <mergeCell ref="J1659:K1659"/>
    <mergeCell ref="L1659:M1659"/>
    <mergeCell ref="J1652:M1652"/>
    <mergeCell ref="D1644:D1645"/>
    <mergeCell ref="I1644:J1645"/>
    <mergeCell ref="K1644:K1645"/>
    <mergeCell ref="L1644:L1645"/>
    <mergeCell ref="M1644:M1645"/>
    <mergeCell ref="E1648:F1648"/>
    <mergeCell ref="G1648:H1648"/>
    <mergeCell ref="I1648:J1648"/>
    <mergeCell ref="N1644:N1645"/>
    <mergeCell ref="E1645:F1645"/>
    <mergeCell ref="G1645:H1645"/>
    <mergeCell ref="E1646:F1646"/>
    <mergeCell ref="G1646:H1646"/>
    <mergeCell ref="I1646:J1646"/>
    <mergeCell ref="E1647:F1647"/>
    <mergeCell ref="G1686:H1686"/>
    <mergeCell ref="I1686:J1686"/>
    <mergeCell ref="N1684:N1685"/>
    <mergeCell ref="E1685:F1685"/>
    <mergeCell ref="G1685:H1685"/>
    <mergeCell ref="I1684:J1685"/>
    <mergeCell ref="K1684:K1685"/>
    <mergeCell ref="L1684:L1685"/>
    <mergeCell ref="M1684:M1685"/>
    <mergeCell ref="D1668:J1668"/>
    <mergeCell ref="K1674:M1674"/>
    <mergeCell ref="E1676:H1676"/>
    <mergeCell ref="E1607:F1607"/>
    <mergeCell ref="G1607:H1607"/>
    <mergeCell ref="I1607:J1607"/>
    <mergeCell ref="E1608:F1608"/>
    <mergeCell ref="G1608:H1608"/>
    <mergeCell ref="I1608:J1608"/>
    <mergeCell ref="J1619:K1619"/>
    <mergeCell ref="L1619:M1619"/>
    <mergeCell ref="N1619:N1620"/>
    <mergeCell ref="D1628:J1628"/>
    <mergeCell ref="J1612:M1612"/>
    <mergeCell ref="D1617:E1618"/>
    <mergeCell ref="F1617:L1617"/>
    <mergeCell ref="F1618:L1618"/>
    <mergeCell ref="K1634:M1634"/>
    <mergeCell ref="E1636:H1636"/>
    <mergeCell ref="K1636:M1636"/>
    <mergeCell ref="D1604:D1605"/>
    <mergeCell ref="I1604:J1605"/>
    <mergeCell ref="K1604:K1605"/>
    <mergeCell ref="E1597:H1597"/>
    <mergeCell ref="F1579:L1579"/>
    <mergeCell ref="K1595:M1595"/>
    <mergeCell ref="J1580:K1580"/>
    <mergeCell ref="L1580:M1580"/>
    <mergeCell ref="K1597:M1597"/>
    <mergeCell ref="N1604:N1605"/>
    <mergeCell ref="E1605:F1605"/>
    <mergeCell ref="G1605:H1605"/>
    <mergeCell ref="E1606:F1606"/>
    <mergeCell ref="G1606:H1606"/>
    <mergeCell ref="I1606:J1606"/>
    <mergeCell ref="M1604:M1605"/>
    <mergeCell ref="L1604:L1605"/>
    <mergeCell ref="M1550:M1551"/>
    <mergeCell ref="N1550:N1551"/>
    <mergeCell ref="G1554:H1554"/>
    <mergeCell ref="I1554:J1554"/>
    <mergeCell ref="K1550:K1551"/>
    <mergeCell ref="L1550:L1551"/>
    <mergeCell ref="N1580:N1581"/>
    <mergeCell ref="D1589:J1589"/>
    <mergeCell ref="D1561:J1561"/>
    <mergeCell ref="E1552:F1552"/>
    <mergeCell ref="G1552:H1552"/>
    <mergeCell ref="I1552:J1552"/>
    <mergeCell ref="K1569:M1569"/>
    <mergeCell ref="K1557:M1557"/>
    <mergeCell ref="D1578:E1579"/>
    <mergeCell ref="F1578:L1578"/>
    <mergeCell ref="E1553:F1553"/>
    <mergeCell ref="G1553:H1553"/>
    <mergeCell ref="I1553:J1553"/>
    <mergeCell ref="D1550:D1551"/>
    <mergeCell ref="I1550:J1551"/>
    <mergeCell ref="E1551:F1551"/>
    <mergeCell ref="G1551:H1551"/>
    <mergeCell ref="E1554:F1554"/>
    <mergeCell ref="J1514:M1514"/>
    <mergeCell ref="E1508:F1508"/>
    <mergeCell ref="G1508:H1508"/>
    <mergeCell ref="I1508:J1508"/>
    <mergeCell ref="E1509:F1509"/>
    <mergeCell ref="G1509:H1509"/>
    <mergeCell ref="I1509:J1509"/>
    <mergeCell ref="E1510:F1510"/>
    <mergeCell ref="G1510:H1510"/>
    <mergeCell ref="I1510:J1510"/>
    <mergeCell ref="N1521:N1522"/>
    <mergeCell ref="D1533:J1533"/>
    <mergeCell ref="K1539:M1539"/>
    <mergeCell ref="E1541:H1541"/>
    <mergeCell ref="K1541:M1541"/>
    <mergeCell ref="D1519:E1520"/>
    <mergeCell ref="F1519:L1519"/>
    <mergeCell ref="F1520:L1520"/>
    <mergeCell ref="J1521:K1521"/>
    <mergeCell ref="L1521:M1521"/>
    <mergeCell ref="I1454:J1454"/>
    <mergeCell ref="E1455:F1455"/>
    <mergeCell ref="G1455:H1455"/>
    <mergeCell ref="I1455:J1455"/>
    <mergeCell ref="D1451:D1452"/>
    <mergeCell ref="I1451:J1452"/>
    <mergeCell ref="F1479:L1479"/>
    <mergeCell ref="F1480:L1480"/>
    <mergeCell ref="K1458:M1458"/>
    <mergeCell ref="D1462:J1462"/>
    <mergeCell ref="D1479:E1480"/>
    <mergeCell ref="I1453:J1453"/>
    <mergeCell ref="E1453:F1453"/>
    <mergeCell ref="G1453:H1453"/>
    <mergeCell ref="E1454:F1454"/>
    <mergeCell ref="G1454:H1454"/>
    <mergeCell ref="N1506:N1507"/>
    <mergeCell ref="E1507:F1507"/>
    <mergeCell ref="G1507:H1507"/>
    <mergeCell ref="L1481:M1481"/>
    <mergeCell ref="N1481:N1482"/>
    <mergeCell ref="M1506:M1507"/>
    <mergeCell ref="J1481:K1481"/>
    <mergeCell ref="E1498:H1498"/>
    <mergeCell ref="K1498:M1498"/>
    <mergeCell ref="D1490:J1490"/>
    <mergeCell ref="I1473:L1473"/>
    <mergeCell ref="D1506:D1507"/>
    <mergeCell ref="I1506:J1507"/>
    <mergeCell ref="L1425:M1425"/>
    <mergeCell ref="E1443:H1443"/>
    <mergeCell ref="K1443:M1443"/>
    <mergeCell ref="D1435:E1435"/>
    <mergeCell ref="D1410:D1411"/>
    <mergeCell ref="E1414:F1414"/>
    <mergeCell ref="G1414:H1414"/>
    <mergeCell ref="I1414:J1414"/>
    <mergeCell ref="K1451:K1452"/>
    <mergeCell ref="L1451:L1452"/>
    <mergeCell ref="E1452:F1452"/>
    <mergeCell ref="G1452:H1452"/>
    <mergeCell ref="M1451:M1452"/>
    <mergeCell ref="J1418:M1418"/>
    <mergeCell ref="D1423:E1424"/>
    <mergeCell ref="F1423:L1423"/>
    <mergeCell ref="F1424:L1424"/>
    <mergeCell ref="J1425:K1425"/>
    <mergeCell ref="F1383:L1383"/>
    <mergeCell ref="G1411:H1411"/>
    <mergeCell ref="E1413:F1413"/>
    <mergeCell ref="G1413:H1413"/>
    <mergeCell ref="I1413:J1413"/>
    <mergeCell ref="I1410:J1411"/>
    <mergeCell ref="K1410:K1411"/>
    <mergeCell ref="L1410:L1411"/>
    <mergeCell ref="E1412:F1412"/>
    <mergeCell ref="G1412:H1412"/>
    <mergeCell ref="E1211:F1211"/>
    <mergeCell ref="G1211:H1211"/>
    <mergeCell ref="G1172:H1172"/>
    <mergeCell ref="J1183:K1183"/>
    <mergeCell ref="E1202:H1202"/>
    <mergeCell ref="F1181:L1181"/>
    <mergeCell ref="N1130:N1131"/>
    <mergeCell ref="E1131:F1131"/>
    <mergeCell ref="E1132:F1132"/>
    <mergeCell ref="G1132:H1132"/>
    <mergeCell ref="G1131:H1131"/>
    <mergeCell ref="E1133:F1133"/>
    <mergeCell ref="E1331:F1331"/>
    <mergeCell ref="D58:J58"/>
    <mergeCell ref="F46:L46"/>
    <mergeCell ref="N202:N203"/>
    <mergeCell ref="K328:K329"/>
    <mergeCell ref="L328:L329"/>
    <mergeCell ref="D360:E361"/>
    <mergeCell ref="N265:N266"/>
    <mergeCell ref="L265:L266"/>
    <mergeCell ref="D328:D329"/>
    <mergeCell ref="I328:J329"/>
    <mergeCell ref="D265:D266"/>
    <mergeCell ref="I265:J266"/>
    <mergeCell ref="N391:N392"/>
    <mergeCell ref="M328:M329"/>
    <mergeCell ref="N328:N329"/>
    <mergeCell ref="N299:N300"/>
    <mergeCell ref="L299:M299"/>
    <mergeCell ref="N362:N363"/>
    <mergeCell ref="K349:M349"/>
    <mergeCell ref="I352:L352"/>
    <mergeCell ref="M391:M392"/>
    <mergeCell ref="J362:K362"/>
    <mergeCell ref="D45:E46"/>
    <mergeCell ref="D89:J89"/>
    <mergeCell ref="G80:H80"/>
    <mergeCell ref="I80:J80"/>
    <mergeCell ref="D76:D77"/>
    <mergeCell ref="E79:F79"/>
    <mergeCell ref="D32:D33"/>
    <mergeCell ref="E33:F33"/>
    <mergeCell ref="N32:N33"/>
    <mergeCell ref="D121:J121"/>
    <mergeCell ref="L76:L77"/>
    <mergeCell ref="M76:M77"/>
    <mergeCell ref="F108:L108"/>
    <mergeCell ref="N110:N111"/>
    <mergeCell ref="G79:H79"/>
    <mergeCell ref="I79:J79"/>
    <mergeCell ref="I34:J34"/>
    <mergeCell ref="E34:F34"/>
    <mergeCell ref="K442:M442"/>
    <mergeCell ref="E393:F393"/>
    <mergeCell ref="G393:H393"/>
    <mergeCell ref="I415:L415"/>
    <mergeCell ref="I396:J396"/>
    <mergeCell ref="I416:L416"/>
    <mergeCell ref="E394:F394"/>
    <mergeCell ref="G394:H394"/>
    <mergeCell ref="I394:J394"/>
    <mergeCell ref="D423:E424"/>
    <mergeCell ref="N173:N174"/>
    <mergeCell ref="N76:N77"/>
    <mergeCell ref="N139:N140"/>
    <mergeCell ref="I163:L163"/>
    <mergeCell ref="K64:M64"/>
    <mergeCell ref="I78:J78"/>
    <mergeCell ref="K66:M66"/>
    <mergeCell ref="K412:M412"/>
    <mergeCell ref="G78:H78"/>
    <mergeCell ref="E66:H66"/>
    <mergeCell ref="G77:H77"/>
    <mergeCell ref="E78:F78"/>
    <mergeCell ref="K97:M97"/>
    <mergeCell ref="K76:K77"/>
    <mergeCell ref="E77:F77"/>
    <mergeCell ref="M139:M140"/>
    <mergeCell ref="I142:J142"/>
    <mergeCell ref="K139:K140"/>
    <mergeCell ref="L139:L140"/>
    <mergeCell ref="K127:M127"/>
    <mergeCell ref="E80:F80"/>
    <mergeCell ref="E81:F81"/>
    <mergeCell ref="G580:H580"/>
    <mergeCell ref="G519:H519"/>
    <mergeCell ref="G579:H579"/>
    <mergeCell ref="E570:H570"/>
    <mergeCell ref="E579:F579"/>
    <mergeCell ref="E520:F520"/>
    <mergeCell ref="D527:J527"/>
    <mergeCell ref="G517:H517"/>
    <mergeCell ref="E517:F517"/>
    <mergeCell ref="I520:J520"/>
    <mergeCell ref="E519:F519"/>
    <mergeCell ref="D578:D579"/>
    <mergeCell ref="E518:F518"/>
    <mergeCell ref="G518:H518"/>
    <mergeCell ref="I393:J393"/>
    <mergeCell ref="E392:F392"/>
    <mergeCell ref="E381:H381"/>
    <mergeCell ref="G81:H81"/>
    <mergeCell ref="K391:K392"/>
    <mergeCell ref="N516:N517"/>
    <mergeCell ref="M454:M455"/>
    <mergeCell ref="N454:N455"/>
    <mergeCell ref="K507:M507"/>
    <mergeCell ref="N488:N489"/>
    <mergeCell ref="L488:M488"/>
    <mergeCell ref="F486:L486"/>
    <mergeCell ref="G455:H455"/>
    <mergeCell ref="E456:F456"/>
    <mergeCell ref="E507:H507"/>
    <mergeCell ref="I696:J696"/>
    <mergeCell ref="I753:J753"/>
    <mergeCell ref="E799:H799"/>
    <mergeCell ref="I713:L713"/>
    <mergeCell ref="I806:J807"/>
    <mergeCell ref="G755:H755"/>
    <mergeCell ref="L782:M782"/>
    <mergeCell ref="K711:M711"/>
    <mergeCell ref="D703:J703"/>
    <mergeCell ref="E695:F695"/>
    <mergeCell ref="L750:L751"/>
    <mergeCell ref="I755:J755"/>
    <mergeCell ref="M750:M751"/>
    <mergeCell ref="E755:F755"/>
    <mergeCell ref="N692:N693"/>
    <mergeCell ref="G695:H695"/>
    <mergeCell ref="L692:L693"/>
    <mergeCell ref="M692:M693"/>
    <mergeCell ref="I692:J693"/>
    <mergeCell ref="I694:J694"/>
    <mergeCell ref="G693:H693"/>
    <mergeCell ref="K692:K693"/>
    <mergeCell ref="G694:H694"/>
    <mergeCell ref="G914:H914"/>
    <mergeCell ref="M1169:M1170"/>
    <mergeCell ref="E1172:F1172"/>
    <mergeCell ref="D972:D973"/>
    <mergeCell ref="I972:J973"/>
    <mergeCell ref="K972:K973"/>
    <mergeCell ref="L972:L973"/>
    <mergeCell ref="E1015:F1015"/>
    <mergeCell ref="G1015:H1015"/>
    <mergeCell ref="K771:M771"/>
    <mergeCell ref="I752:J752"/>
    <mergeCell ref="N972:N973"/>
    <mergeCell ref="N911:N912"/>
    <mergeCell ref="D858:D859"/>
    <mergeCell ref="I858:J859"/>
    <mergeCell ref="K858:K859"/>
    <mergeCell ref="L858:L859"/>
    <mergeCell ref="M858:M859"/>
    <mergeCell ref="N858:N859"/>
    <mergeCell ref="D763:J763"/>
    <mergeCell ref="D806:D807"/>
    <mergeCell ref="D1130:D1131"/>
    <mergeCell ref="L986:M986"/>
    <mergeCell ref="I826:L826"/>
    <mergeCell ref="I808:J808"/>
    <mergeCell ref="I809:J809"/>
    <mergeCell ref="F832:L832"/>
    <mergeCell ref="K962:M962"/>
    <mergeCell ref="J945:K945"/>
    <mergeCell ref="D956:J956"/>
    <mergeCell ref="I937:L937"/>
    <mergeCell ref="E1292:F1292"/>
    <mergeCell ref="D1290:D1291"/>
    <mergeCell ref="E1291:F1291"/>
    <mergeCell ref="G1291:H1291"/>
    <mergeCell ref="E1294:F1294"/>
    <mergeCell ref="L1265:M1265"/>
    <mergeCell ref="I1290:J1291"/>
    <mergeCell ref="K1290:K1291"/>
    <mergeCell ref="E1282:H1282"/>
    <mergeCell ref="D1263:E1264"/>
    <mergeCell ref="F1263:L1263"/>
    <mergeCell ref="L1290:L1291"/>
    <mergeCell ref="M1290:M1291"/>
    <mergeCell ref="M1330:M1331"/>
    <mergeCell ref="K1282:M1282"/>
    <mergeCell ref="K1330:K1331"/>
    <mergeCell ref="K1320:M1320"/>
    <mergeCell ref="J1265:K1265"/>
    <mergeCell ref="F1264:L1264"/>
    <mergeCell ref="E1293:F1293"/>
    <mergeCell ref="K1130:K1131"/>
    <mergeCell ref="F1143:L1143"/>
    <mergeCell ref="J1144:K1144"/>
    <mergeCell ref="L1144:M1144"/>
    <mergeCell ref="E1163:H1163"/>
    <mergeCell ref="D1142:E1143"/>
    <mergeCell ref="D1155:J1155"/>
    <mergeCell ref="D1169:D1170"/>
    <mergeCell ref="I1169:J1170"/>
    <mergeCell ref="F984:L984"/>
    <mergeCell ref="D1070:D1071"/>
    <mergeCell ref="G1170:H1170"/>
    <mergeCell ref="K1034:M1034"/>
    <mergeCell ref="N1070:N1071"/>
    <mergeCell ref="E1071:F1071"/>
    <mergeCell ref="G1071:H1071"/>
    <mergeCell ref="E1072:F1072"/>
    <mergeCell ref="G1072:H1072"/>
    <mergeCell ref="I1072:J1072"/>
    <mergeCell ref="L1070:L1071"/>
    <mergeCell ref="D1102:E1103"/>
    <mergeCell ref="N1104:N1105"/>
    <mergeCell ref="I1073:J1073"/>
    <mergeCell ref="K1077:M1077"/>
    <mergeCell ref="D1081:J1081"/>
    <mergeCell ref="K1093:M1093"/>
    <mergeCell ref="I1096:L1096"/>
    <mergeCell ref="J1104:K1104"/>
    <mergeCell ref="L1104:M1104"/>
    <mergeCell ref="E1122:H1122"/>
    <mergeCell ref="F985:L985"/>
    <mergeCell ref="E1073:F1073"/>
    <mergeCell ref="G1073:H1073"/>
    <mergeCell ref="J1045:K1045"/>
    <mergeCell ref="L1045:M1045"/>
    <mergeCell ref="D1043:E1044"/>
    <mergeCell ref="F1043:L1043"/>
    <mergeCell ref="I1070:J1071"/>
    <mergeCell ref="K1070:K1071"/>
    <mergeCell ref="E975:F975"/>
    <mergeCell ref="M972:M973"/>
    <mergeCell ref="M1070:M1071"/>
    <mergeCell ref="D1022:J1022"/>
    <mergeCell ref="N1045:N1046"/>
    <mergeCell ref="I974:J974"/>
    <mergeCell ref="G975:H975"/>
    <mergeCell ref="J979:M979"/>
    <mergeCell ref="J986:K986"/>
    <mergeCell ref="F1044:L1044"/>
    <mergeCell ref="I975:J975"/>
    <mergeCell ref="N986:N987"/>
    <mergeCell ref="M1011:M1012"/>
    <mergeCell ref="N1011:N1012"/>
    <mergeCell ref="I580:J580"/>
    <mergeCell ref="D546:E547"/>
    <mergeCell ref="M578:M579"/>
    <mergeCell ref="E581:F581"/>
    <mergeCell ref="K475:M475"/>
    <mergeCell ref="N1410:N1411"/>
    <mergeCell ref="N425:N426"/>
    <mergeCell ref="E444:H444"/>
    <mergeCell ref="K444:M444"/>
    <mergeCell ref="G581:H581"/>
    <mergeCell ref="I581:J581"/>
    <mergeCell ref="N578:N579"/>
    <mergeCell ref="I578:J579"/>
    <mergeCell ref="K578:K579"/>
    <mergeCell ref="L578:L579"/>
    <mergeCell ref="J1385:K1385"/>
    <mergeCell ref="D1394:J1394"/>
    <mergeCell ref="L1385:M1385"/>
    <mergeCell ref="N1385:N1386"/>
    <mergeCell ref="M1410:M1411"/>
    <mergeCell ref="E1411:F1411"/>
    <mergeCell ref="I915:J915"/>
    <mergeCell ref="E974:F974"/>
    <mergeCell ref="D922:J922"/>
    <mergeCell ref="E973:F973"/>
    <mergeCell ref="G973:H973"/>
    <mergeCell ref="E964:H964"/>
    <mergeCell ref="F1102:L1102"/>
    <mergeCell ref="F1103:L1103"/>
    <mergeCell ref="I1074:J1074"/>
    <mergeCell ref="G1074:H1074"/>
    <mergeCell ref="D984:E985"/>
    <mergeCell ref="F1384:L1384"/>
    <mergeCell ref="I1254:J1254"/>
    <mergeCell ref="K1506:K1507"/>
    <mergeCell ref="L1506:L1507"/>
    <mergeCell ref="K1496:M1496"/>
    <mergeCell ref="D1274:J1274"/>
    <mergeCell ref="D1303:E1304"/>
    <mergeCell ref="F1303:L1303"/>
    <mergeCell ref="E914:F914"/>
    <mergeCell ref="I914:J914"/>
    <mergeCell ref="G915:H915"/>
    <mergeCell ref="E915:F915"/>
    <mergeCell ref="D1222:E1223"/>
    <mergeCell ref="F1222:L1222"/>
    <mergeCell ref="K1122:M1122"/>
    <mergeCell ref="G1133:H1133"/>
    <mergeCell ref="K934:M934"/>
    <mergeCell ref="G974:H974"/>
    <mergeCell ref="I1374:J1374"/>
    <mergeCell ref="I1373:J1373"/>
    <mergeCell ref="F1142:L1142"/>
    <mergeCell ref="I1133:J1133"/>
    <mergeCell ref="J1137:M1137"/>
    <mergeCell ref="D943:E944"/>
    <mergeCell ref="F943:L943"/>
    <mergeCell ref="K918:M918"/>
    <mergeCell ref="K964:M964"/>
    <mergeCell ref="K1120:M1120"/>
    <mergeCell ref="D1114:J1114"/>
    <mergeCell ref="E1074:F1074"/>
    <mergeCell ref="L1130:L1131"/>
    <mergeCell ref="I1132:J1132"/>
    <mergeCell ref="F781:L781"/>
    <mergeCell ref="I750:J751"/>
    <mergeCell ref="K750:K751"/>
    <mergeCell ref="K758:M758"/>
    <mergeCell ref="E807:F807"/>
    <mergeCell ref="E809:F809"/>
    <mergeCell ref="E913:F913"/>
    <mergeCell ref="G913:H913"/>
    <mergeCell ref="D895:E895"/>
    <mergeCell ref="F884:L884"/>
    <mergeCell ref="J886:K886"/>
    <mergeCell ref="E903:H903"/>
    <mergeCell ref="K903:M903"/>
    <mergeCell ref="I913:J913"/>
    <mergeCell ref="M911:M912"/>
    <mergeCell ref="G912:H912"/>
    <mergeCell ref="D911:D912"/>
    <mergeCell ref="E751:F751"/>
    <mergeCell ref="K797:M797"/>
    <mergeCell ref="M806:M807"/>
    <mergeCell ref="K799:M799"/>
    <mergeCell ref="K824:M824"/>
    <mergeCell ref="K812:M812"/>
    <mergeCell ref="L806:L807"/>
    <mergeCell ref="K806:K807"/>
    <mergeCell ref="K901:M901"/>
    <mergeCell ref="E859:F859"/>
    <mergeCell ref="G859:H859"/>
    <mergeCell ref="K876:M876"/>
    <mergeCell ref="E860:F860"/>
    <mergeCell ref="G860:H860"/>
    <mergeCell ref="K864:M864"/>
    <mergeCell ref="E861:F861"/>
    <mergeCell ref="D868:J868"/>
    <mergeCell ref="I860:J860"/>
    <mergeCell ref="F661:L661"/>
    <mergeCell ref="G638:H638"/>
    <mergeCell ref="E395:F395"/>
    <mergeCell ref="I518:J518"/>
    <mergeCell ref="I454:J455"/>
    <mergeCell ref="D499:J499"/>
    <mergeCell ref="D486:E487"/>
    <mergeCell ref="F487:L487"/>
    <mergeCell ref="J488:K488"/>
    <mergeCell ref="E396:F396"/>
    <mergeCell ref="L606:M606"/>
    <mergeCell ref="G396:H396"/>
    <mergeCell ref="F662:L662"/>
    <mergeCell ref="D675:J675"/>
    <mergeCell ref="G696:H696"/>
    <mergeCell ref="I695:J695"/>
    <mergeCell ref="G456:H456"/>
    <mergeCell ref="I456:J456"/>
    <mergeCell ref="E455:F455"/>
    <mergeCell ref="J782:K782"/>
    <mergeCell ref="G751:H751"/>
    <mergeCell ref="I459:J459"/>
    <mergeCell ref="I754:J754"/>
    <mergeCell ref="D2:N2"/>
    <mergeCell ref="D3:N3"/>
    <mergeCell ref="D6:E7"/>
    <mergeCell ref="I8:I9"/>
    <mergeCell ref="G331:H331"/>
    <mergeCell ref="G33:H33"/>
    <mergeCell ref="K24:M24"/>
    <mergeCell ref="K22:M22"/>
    <mergeCell ref="E24:H24"/>
    <mergeCell ref="K32:K33"/>
    <mergeCell ref="L32:L33"/>
    <mergeCell ref="M32:M33"/>
    <mergeCell ref="I32:J33"/>
    <mergeCell ref="D47:H47"/>
    <mergeCell ref="E192:H192"/>
    <mergeCell ref="E329:F329"/>
    <mergeCell ref="G329:H329"/>
    <mergeCell ref="I204:J204"/>
    <mergeCell ref="I330:J330"/>
    <mergeCell ref="E330:F330"/>
    <mergeCell ref="G330:H330"/>
    <mergeCell ref="G204:H204"/>
    <mergeCell ref="E331:F331"/>
    <mergeCell ref="K265:K266"/>
    <mergeCell ref="E268:F268"/>
    <mergeCell ref="G268:H268"/>
    <mergeCell ref="I268:J268"/>
    <mergeCell ref="D202:D203"/>
    <mergeCell ref="I202:J203"/>
    <mergeCell ref="K202:K203"/>
    <mergeCell ref="E205:F205"/>
    <mergeCell ref="G205:H205"/>
    <mergeCell ref="D108:E109"/>
    <mergeCell ref="F109:L109"/>
    <mergeCell ref="G141:H141"/>
    <mergeCell ref="I141:J141"/>
    <mergeCell ref="E140:F140"/>
    <mergeCell ref="G34:H34"/>
    <mergeCell ref="F6:L6"/>
    <mergeCell ref="D16:J16"/>
    <mergeCell ref="N8:N9"/>
    <mergeCell ref="K147:M147"/>
    <mergeCell ref="D152:J152"/>
    <mergeCell ref="J110:K110"/>
    <mergeCell ref="L110:M110"/>
    <mergeCell ref="G140:H140"/>
    <mergeCell ref="E141:F141"/>
    <mergeCell ref="L8:M8"/>
    <mergeCell ref="F7:L7"/>
    <mergeCell ref="J8:K8"/>
    <mergeCell ref="D8:H9"/>
    <mergeCell ref="I38:J38"/>
    <mergeCell ref="I100:L100"/>
    <mergeCell ref="I101:L101"/>
    <mergeCell ref="I81:J81"/>
    <mergeCell ref="K84:M84"/>
    <mergeCell ref="I76:J77"/>
    <mergeCell ref="F45:L45"/>
    <mergeCell ref="N47:N48"/>
    <mergeCell ref="L47:M47"/>
    <mergeCell ref="J47:K47"/>
    <mergeCell ref="E35:F35"/>
    <mergeCell ref="I35:J35"/>
    <mergeCell ref="G35:H35"/>
    <mergeCell ref="D110:H110"/>
    <mergeCell ref="G143:H143"/>
    <mergeCell ref="E206:F206"/>
    <mergeCell ref="G206:H206"/>
    <mergeCell ref="E203:F203"/>
    <mergeCell ref="G203:H203"/>
    <mergeCell ref="D184:J184"/>
    <mergeCell ref="D171:E172"/>
    <mergeCell ref="F171:L171"/>
    <mergeCell ref="F172:L172"/>
    <mergeCell ref="K160:M160"/>
    <mergeCell ref="I164:L164"/>
    <mergeCell ref="E333:F333"/>
    <mergeCell ref="I205:J205"/>
    <mergeCell ref="F298:L298"/>
    <mergeCell ref="I226:L226"/>
    <mergeCell ref="I227:L227"/>
    <mergeCell ref="D234:E235"/>
    <mergeCell ref="F234:L234"/>
    <mergeCell ref="F235:L235"/>
    <mergeCell ref="I139:J140"/>
    <mergeCell ref="E207:F207"/>
    <mergeCell ref="G207:H207"/>
    <mergeCell ref="I207:J207"/>
    <mergeCell ref="K210:M210"/>
    <mergeCell ref="D215:J215"/>
    <mergeCell ref="K223:M223"/>
    <mergeCell ref="E204:F204"/>
    <mergeCell ref="J173:K173"/>
    <mergeCell ref="L173:M173"/>
    <mergeCell ref="K192:M192"/>
    <mergeCell ref="I206:J206"/>
    <mergeCell ref="L202:L203"/>
    <mergeCell ref="K190:M190"/>
    <mergeCell ref="M202:M203"/>
    <mergeCell ref="D173:H173"/>
    <mergeCell ref="E142:F142"/>
    <mergeCell ref="E129:H129"/>
    <mergeCell ref="K129:M129"/>
    <mergeCell ref="E144:F144"/>
    <mergeCell ref="G144:H144"/>
    <mergeCell ref="E143:F143"/>
    <mergeCell ref="G142:H142"/>
    <mergeCell ref="I144:J144"/>
    <mergeCell ref="I143:J143"/>
    <mergeCell ref="D139:D140"/>
    <mergeCell ref="K253:M253"/>
    <mergeCell ref="K273:M273"/>
    <mergeCell ref="I331:J331"/>
    <mergeCell ref="K318:M318"/>
    <mergeCell ref="J299:K299"/>
    <mergeCell ref="D310:J310"/>
    <mergeCell ref="K316:M316"/>
    <mergeCell ref="N236:N237"/>
    <mergeCell ref="D247:J247"/>
    <mergeCell ref="E267:F267"/>
    <mergeCell ref="G267:H267"/>
    <mergeCell ref="I267:J267"/>
    <mergeCell ref="M265:M266"/>
    <mergeCell ref="E255:H255"/>
    <mergeCell ref="K255:M255"/>
    <mergeCell ref="E266:F266"/>
    <mergeCell ref="G266:H266"/>
    <mergeCell ref="J236:K236"/>
    <mergeCell ref="L236:M236"/>
    <mergeCell ref="D236:H236"/>
    <mergeCell ref="E318:H318"/>
    <mergeCell ref="I457:J457"/>
    <mergeCell ref="D341:J341"/>
    <mergeCell ref="D278:J278"/>
    <mergeCell ref="K286:M286"/>
    <mergeCell ref="I289:L289"/>
    <mergeCell ref="I290:L290"/>
    <mergeCell ref="I333:J333"/>
    <mergeCell ref="F297:L297"/>
    <mergeCell ref="D297:E298"/>
    <mergeCell ref="E332:F332"/>
    <mergeCell ref="G332:H332"/>
    <mergeCell ref="G269:H269"/>
    <mergeCell ref="I269:J269"/>
    <mergeCell ref="E270:F270"/>
    <mergeCell ref="G270:H270"/>
    <mergeCell ref="I270:J270"/>
    <mergeCell ref="E269:F269"/>
    <mergeCell ref="I353:L353"/>
    <mergeCell ref="K336:M336"/>
    <mergeCell ref="G392:H392"/>
    <mergeCell ref="K379:M379"/>
    <mergeCell ref="L362:M362"/>
    <mergeCell ref="K381:M381"/>
    <mergeCell ref="D373:J373"/>
    <mergeCell ref="D391:D392"/>
    <mergeCell ref="I391:J392"/>
    <mergeCell ref="D362:H362"/>
    <mergeCell ref="L391:L392"/>
    <mergeCell ref="G333:H333"/>
    <mergeCell ref="F360:L360"/>
    <mergeCell ref="F361:L361"/>
    <mergeCell ref="I332:J332"/>
    <mergeCell ref="L516:L517"/>
    <mergeCell ref="I519:J519"/>
    <mergeCell ref="K535:M535"/>
    <mergeCell ref="L454:L455"/>
    <mergeCell ref="K399:M399"/>
    <mergeCell ref="L425:M425"/>
    <mergeCell ref="E459:F459"/>
    <mergeCell ref="G459:H459"/>
    <mergeCell ref="D404:J404"/>
    <mergeCell ref="G395:H395"/>
    <mergeCell ref="I395:J395"/>
    <mergeCell ref="I538:L538"/>
    <mergeCell ref="I539:L539"/>
    <mergeCell ref="K636:K637"/>
    <mergeCell ref="L548:M548"/>
    <mergeCell ref="K584:M584"/>
    <mergeCell ref="K596:M596"/>
    <mergeCell ref="D588:J588"/>
    <mergeCell ref="F423:L423"/>
    <mergeCell ref="F424:L424"/>
    <mergeCell ref="D516:D517"/>
    <mergeCell ref="G520:H520"/>
    <mergeCell ref="I479:L479"/>
    <mergeCell ref="I478:L478"/>
    <mergeCell ref="I516:J517"/>
    <mergeCell ref="K505:M505"/>
    <mergeCell ref="M516:M517"/>
    <mergeCell ref="K516:K517"/>
    <mergeCell ref="G457:H457"/>
    <mergeCell ref="E458:F458"/>
    <mergeCell ref="I458:J458"/>
    <mergeCell ref="D436:J436"/>
    <mergeCell ref="D425:H425"/>
    <mergeCell ref="J425:K425"/>
    <mergeCell ref="G458:H458"/>
    <mergeCell ref="K454:K455"/>
    <mergeCell ref="K462:M462"/>
    <mergeCell ref="D467:J467"/>
    <mergeCell ref="D454:D455"/>
    <mergeCell ref="E457:F457"/>
    <mergeCell ref="D604:E605"/>
    <mergeCell ref="F604:L604"/>
    <mergeCell ref="F605:L605"/>
    <mergeCell ref="I655:L655"/>
    <mergeCell ref="L636:L637"/>
    <mergeCell ref="M636:M637"/>
    <mergeCell ref="K653:M653"/>
    <mergeCell ref="D645:J645"/>
    <mergeCell ref="K641:M641"/>
    <mergeCell ref="D636:D637"/>
    <mergeCell ref="I638:J638"/>
    <mergeCell ref="E637:F637"/>
    <mergeCell ref="G637:H637"/>
    <mergeCell ref="K523:M523"/>
    <mergeCell ref="D692:D693"/>
    <mergeCell ref="N606:N607"/>
    <mergeCell ref="K626:M626"/>
    <mergeCell ref="E628:H628"/>
    <mergeCell ref="K628:M628"/>
    <mergeCell ref="N636:N637"/>
    <mergeCell ref="J606:K606"/>
    <mergeCell ref="I636:J637"/>
    <mergeCell ref="E638:F638"/>
    <mergeCell ref="I598:L598"/>
    <mergeCell ref="E580:F580"/>
    <mergeCell ref="N548:N549"/>
    <mergeCell ref="K570:M570"/>
    <mergeCell ref="F546:L546"/>
    <mergeCell ref="F547:L547"/>
    <mergeCell ref="J548:K548"/>
    <mergeCell ref="K568:M568"/>
    <mergeCell ref="D663:H664"/>
    <mergeCell ref="D661:E662"/>
    <mergeCell ref="J663:K663"/>
    <mergeCell ref="N663:N664"/>
    <mergeCell ref="E693:F693"/>
    <mergeCell ref="D816:J816"/>
    <mergeCell ref="E851:H851"/>
    <mergeCell ref="D884:E885"/>
    <mergeCell ref="F885:L885"/>
    <mergeCell ref="D832:E833"/>
    <mergeCell ref="I878:L878"/>
    <mergeCell ref="F833:L833"/>
    <mergeCell ref="D843:J843"/>
    <mergeCell ref="K849:M849"/>
    <mergeCell ref="D780:E781"/>
    <mergeCell ref="E754:F754"/>
    <mergeCell ref="I663:I664"/>
    <mergeCell ref="D721:H721"/>
    <mergeCell ref="I775:L775"/>
    <mergeCell ref="F780:L780"/>
    <mergeCell ref="I774:L774"/>
    <mergeCell ref="D750:D751"/>
    <mergeCell ref="K699:M699"/>
    <mergeCell ref="E696:F696"/>
    <mergeCell ref="G861:H861"/>
    <mergeCell ref="I861:J861"/>
    <mergeCell ref="J834:K834"/>
    <mergeCell ref="K683:M683"/>
    <mergeCell ref="K681:M681"/>
    <mergeCell ref="E683:H683"/>
    <mergeCell ref="E694:F694"/>
    <mergeCell ref="E808:F808"/>
    <mergeCell ref="G807:H807"/>
    <mergeCell ref="G809:H809"/>
    <mergeCell ref="G808:H808"/>
    <mergeCell ref="L834:M834"/>
    <mergeCell ref="N750:N751"/>
    <mergeCell ref="N1659:N1660"/>
    <mergeCell ref="D719:E720"/>
    <mergeCell ref="F719:L719"/>
    <mergeCell ref="F720:L720"/>
    <mergeCell ref="J721:K721"/>
    <mergeCell ref="D732:J732"/>
    <mergeCell ref="G754:H754"/>
    <mergeCell ref="I1572:L1572"/>
    <mergeCell ref="K1470:M1470"/>
    <mergeCell ref="K851:M851"/>
    <mergeCell ref="N721:N722"/>
    <mergeCell ref="E752:F752"/>
    <mergeCell ref="G752:H752"/>
    <mergeCell ref="E753:F753"/>
    <mergeCell ref="G753:H753"/>
    <mergeCell ref="L721:M721"/>
    <mergeCell ref="K738:M738"/>
    <mergeCell ref="E740:H740"/>
    <mergeCell ref="K740:M740"/>
    <mergeCell ref="E912:F912"/>
    <mergeCell ref="K911:K912"/>
    <mergeCell ref="L911:L912"/>
    <mergeCell ref="N782:N783"/>
    <mergeCell ref="L886:M886"/>
    <mergeCell ref="N806:N807"/>
    <mergeCell ref="N945:N946"/>
    <mergeCell ref="L945:M945"/>
    <mergeCell ref="N834:N835"/>
    <mergeCell ref="F944:L944"/>
    <mergeCell ref="N886:N887"/>
    <mergeCell ref="I911:J912"/>
    <mergeCell ref="I1130:J1131"/>
    <mergeCell ref="M1130:M1131"/>
    <mergeCell ref="G1371:H1371"/>
    <mergeCell ref="E1372:F1372"/>
    <mergeCell ref="K1402:M1402"/>
    <mergeCell ref="E1402:H1402"/>
    <mergeCell ref="J1378:M1378"/>
    <mergeCell ref="K1400:M1400"/>
    <mergeCell ref="D1383:E1384"/>
    <mergeCell ref="D1370:D1371"/>
    <mergeCell ref="N1425:N1426"/>
    <mergeCell ref="K1441:M1441"/>
    <mergeCell ref="N1451:N1452"/>
    <mergeCell ref="I1412:J1412"/>
    <mergeCell ref="F1182:L1182"/>
    <mergeCell ref="K1202:M1202"/>
    <mergeCell ref="N1224:N1225"/>
    <mergeCell ref="D1235:J1235"/>
    <mergeCell ref="F1223:L1223"/>
    <mergeCell ref="E1212:F1212"/>
    <mergeCell ref="G1212:H1212"/>
    <mergeCell ref="E1213:F1213"/>
    <mergeCell ref="G1213:H1213"/>
    <mergeCell ref="N1183:N1184"/>
    <mergeCell ref="N1144:N1145"/>
    <mergeCell ref="E1171:F1171"/>
    <mergeCell ref="G1171:H1171"/>
    <mergeCell ref="J1176:M1176"/>
    <mergeCell ref="K1163:M1163"/>
    <mergeCell ref="K1161:M1161"/>
    <mergeCell ref="I1171:J1171"/>
    <mergeCell ref="I1172:J1172"/>
    <mergeCell ref="K1169:K1170"/>
    <mergeCell ref="L1169:L1170"/>
    <mergeCell ref="J1217:M1217"/>
    <mergeCell ref="L1210:L1211"/>
    <mergeCell ref="L1183:M1183"/>
    <mergeCell ref="I1212:J1212"/>
    <mergeCell ref="I1213:J1213"/>
    <mergeCell ref="I1210:J1211"/>
    <mergeCell ref="K1210:K1211"/>
    <mergeCell ref="M1210:M1211"/>
    <mergeCell ref="D1194:J1194"/>
    <mergeCell ref="K1200:M1200"/>
    <mergeCell ref="D1181:E1182"/>
    <mergeCell ref="N1210:N1211"/>
    <mergeCell ref="K1280:M1280"/>
    <mergeCell ref="G1253:H1253"/>
    <mergeCell ref="I1253:J1253"/>
    <mergeCell ref="J1258:M1258"/>
    <mergeCell ref="E1254:F1254"/>
    <mergeCell ref="G1254:H1254"/>
    <mergeCell ref="I1251:J1252"/>
    <mergeCell ref="K1251:K1252"/>
    <mergeCell ref="D1210:D1211"/>
    <mergeCell ref="N1265:N1266"/>
    <mergeCell ref="N1169:N1170"/>
    <mergeCell ref="E1170:F1170"/>
    <mergeCell ref="E1332:F1332"/>
    <mergeCell ref="G1332:H1332"/>
    <mergeCell ref="G1293:H1293"/>
    <mergeCell ref="J1298:M1298"/>
    <mergeCell ref="I1292:J1292"/>
    <mergeCell ref="I1293:J1293"/>
    <mergeCell ref="I1294:J1294"/>
    <mergeCell ref="E1322:H1322"/>
    <mergeCell ref="K1241:M1241"/>
    <mergeCell ref="E1243:H1243"/>
    <mergeCell ref="K1243:M1243"/>
    <mergeCell ref="L1224:M1224"/>
    <mergeCell ref="J1224:K1224"/>
    <mergeCell ref="N1251:N1252"/>
    <mergeCell ref="E1252:F1252"/>
    <mergeCell ref="G1252:H1252"/>
    <mergeCell ref="M1251:M1252"/>
    <mergeCell ref="L1251:L1252"/>
    <mergeCell ref="I1332:J1332"/>
    <mergeCell ref="N1305:N1306"/>
    <mergeCell ref="N1290:N1291"/>
    <mergeCell ref="J1305:K1305"/>
    <mergeCell ref="L1305:M1305"/>
    <mergeCell ref="D1314:J1314"/>
    <mergeCell ref="K1322:M1322"/>
    <mergeCell ref="L1330:L1331"/>
    <mergeCell ref="G1294:H1294"/>
    <mergeCell ref="G1292:H1292"/>
    <mergeCell ref="D1251:D1252"/>
    <mergeCell ref="E1253:F1253"/>
    <mergeCell ref="F1304:L1304"/>
    <mergeCell ref="G1331:H1331"/>
    <mergeCell ref="I1372:J1372"/>
    <mergeCell ref="I1370:J1371"/>
    <mergeCell ref="G1334:H1334"/>
    <mergeCell ref="E1374:F1374"/>
    <mergeCell ref="G1374:H1374"/>
    <mergeCell ref="G1372:H1372"/>
    <mergeCell ref="K1363:M1363"/>
    <mergeCell ref="E1373:F1373"/>
    <mergeCell ref="G1373:H1373"/>
    <mergeCell ref="E1363:H1363"/>
    <mergeCell ref="E1371:F1371"/>
    <mergeCell ref="L1370:L1371"/>
    <mergeCell ref="E1333:F1333"/>
    <mergeCell ref="I1330:J1331"/>
    <mergeCell ref="N1345:N1346"/>
    <mergeCell ref="D1355:J1355"/>
    <mergeCell ref="D1343:E1344"/>
    <mergeCell ref="F1343:L1343"/>
    <mergeCell ref="F1344:L1344"/>
    <mergeCell ref="J1345:K1345"/>
    <mergeCell ref="D1330:D1331"/>
    <mergeCell ref="E1334:F1334"/>
    <mergeCell ref="N1370:N1371"/>
    <mergeCell ref="K1370:K1371"/>
    <mergeCell ref="M1370:M1371"/>
    <mergeCell ref="K1361:M1361"/>
    <mergeCell ref="I1334:J1334"/>
    <mergeCell ref="L1345:M1345"/>
    <mergeCell ref="J1338:M1338"/>
    <mergeCell ref="I1333:J1333"/>
    <mergeCell ref="G1333:H1333"/>
    <mergeCell ref="N1330:N1331"/>
  </mergeCells>
  <phoneticPr fontId="0" type="noConversion"/>
  <printOptions horizontalCentered="1"/>
  <pageMargins left="0.46" right="0.28000000000000003" top="0.41" bottom="0.35" header="0.23" footer="0.3"/>
  <pageSetup paperSize="9" scale="45" orientation="portrait" horizontalDpi="300" verticalDpi="300" r:id="rId1"/>
  <headerFooter alignWithMargins="0"/>
  <rowBreaks count="34" manualBreakCount="34">
    <brk id="43" min="3" max="19" man="1"/>
    <brk id="106" min="3" max="19" man="1"/>
    <brk id="169" min="3" max="19" man="1"/>
    <brk id="232" min="3" max="19" man="1"/>
    <brk id="295" min="3" max="19" man="1"/>
    <brk id="358" min="3" max="19" man="1"/>
    <brk id="421" min="3" max="19" man="1"/>
    <brk id="484" min="3" max="19" man="1"/>
    <brk id="544" min="3" max="19" man="1"/>
    <brk id="602" min="3" max="19" man="1"/>
    <brk id="659" min="3" max="19" man="1"/>
    <brk id="717" min="3" max="19" man="1"/>
    <brk id="778" min="3" max="19" man="1"/>
    <brk id="830" min="3" max="19" man="1"/>
    <brk id="882" min="3" max="19" man="1"/>
    <brk id="941" min="3" max="19" man="1"/>
    <brk id="982" min="3" max="19" man="1"/>
    <brk id="1041" min="3" max="19" man="1"/>
    <brk id="1100" min="3" max="19" man="1"/>
    <brk id="1140" min="3" max="19" man="1"/>
    <brk id="1179" min="3" max="19" man="1"/>
    <brk id="1220" min="3" max="19" man="1"/>
    <brk id="1261" min="3" max="19" man="1"/>
    <brk id="1301" min="3" max="19" man="1"/>
    <brk id="1341" min="3" max="19" man="1"/>
    <brk id="1381" min="3" max="19" man="1"/>
    <brk id="1421" min="3" max="19" man="1"/>
    <brk id="1477" min="3" max="19" man="1"/>
    <brk id="1517" min="3" max="19" man="1"/>
    <brk id="1576" min="3" max="19" man="1"/>
    <brk id="1615" min="3" max="19" man="1"/>
    <brk id="1655" min="3" max="19" man="1"/>
    <brk id="1696" min="3" max="13" man="1"/>
    <brk id="1742" min="3" max="1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1:U1271"/>
  <sheetViews>
    <sheetView showGridLines="0" tabSelected="1" view="pageBreakPreview" zoomScale="60" zoomScaleNormal="60" zoomScaleSheetLayoutView="65" workbookViewId="0">
      <selection activeCell="C65" activeCellId="1" sqref="C64 C65"/>
    </sheetView>
  </sheetViews>
  <sheetFormatPr defaultRowHeight="20.100000000000001" customHeight="1"/>
  <cols>
    <col min="1" max="1" width="3.42578125" style="16" customWidth="1"/>
    <col min="2" max="2" width="11.28515625" style="197" customWidth="1"/>
    <col min="3" max="3" width="4" style="197" customWidth="1"/>
    <col min="4" max="4" width="34.85546875" style="16" customWidth="1"/>
    <col min="5" max="5" width="14.140625" style="16" customWidth="1"/>
    <col min="6" max="6" width="10.7109375" style="16" customWidth="1"/>
    <col min="7" max="7" width="8.140625" style="16" customWidth="1"/>
    <col min="8" max="8" width="10.85546875" style="16" bestFit="1" customWidth="1"/>
    <col min="9" max="9" width="12.85546875" style="223" customWidth="1"/>
    <col min="10" max="10" width="15" style="16" customWidth="1"/>
    <col min="11" max="11" width="21.85546875" style="16" customWidth="1"/>
    <col min="12" max="12" width="27.5703125" style="223" customWidth="1"/>
    <col min="13" max="13" width="14.5703125" style="16" customWidth="1"/>
    <col min="14" max="14" width="22.85546875" style="223" customWidth="1"/>
    <col min="15" max="15" width="11.7109375" style="16" customWidth="1"/>
    <col min="16" max="16" width="12" style="16" customWidth="1"/>
    <col min="17" max="17" width="10.42578125" style="16" bestFit="1" customWidth="1"/>
    <col min="18" max="18" width="10.85546875" style="16" customWidth="1"/>
    <col min="19" max="19" width="12.140625" style="16" customWidth="1"/>
    <col min="20" max="20" width="14.28515625" style="16" customWidth="1"/>
    <col min="21" max="21" width="13.5703125" style="16" bestFit="1" customWidth="1"/>
    <col min="22" max="16384" width="9.140625" style="16"/>
  </cols>
  <sheetData>
    <row r="1" spans="2:21" ht="20.100000000000001" customHeight="1" thickBot="1"/>
    <row r="2" spans="2:21" ht="20.100000000000001" customHeight="1">
      <c r="D2" s="598" t="s">
        <v>304</v>
      </c>
      <c r="E2" s="599"/>
      <c r="F2" s="524" t="s">
        <v>74</v>
      </c>
      <c r="G2" s="525"/>
      <c r="H2" s="525"/>
      <c r="I2" s="525"/>
      <c r="J2" s="525"/>
      <c r="K2" s="525"/>
      <c r="L2" s="526"/>
      <c r="M2" s="19" t="s">
        <v>75</v>
      </c>
      <c r="N2" s="20" t="s">
        <v>76</v>
      </c>
      <c r="U2" s="132">
        <f>N39</f>
        <v>23.28</v>
      </c>
    </row>
    <row r="3" spans="2:21" ht="20.100000000000001" customHeight="1">
      <c r="D3" s="600"/>
      <c r="E3" s="601"/>
      <c r="F3" s="512" t="s">
        <v>219</v>
      </c>
      <c r="G3" s="519"/>
      <c r="H3" s="519"/>
      <c r="I3" s="519"/>
      <c r="J3" s="519"/>
      <c r="K3" s="519"/>
      <c r="L3" s="513"/>
      <c r="M3" s="24" t="s">
        <v>5</v>
      </c>
      <c r="N3" s="25">
        <f>DATA</f>
        <v>41214</v>
      </c>
    </row>
    <row r="4" spans="2:21" ht="20.100000000000001" customHeight="1">
      <c r="D4" s="26" t="s">
        <v>77</v>
      </c>
      <c r="E4" s="27"/>
      <c r="F4" s="27"/>
      <c r="G4" s="27"/>
      <c r="H4" s="28"/>
      <c r="I4" s="214" t="s">
        <v>78</v>
      </c>
      <c r="J4" s="509" t="s">
        <v>79</v>
      </c>
      <c r="K4" s="511"/>
      <c r="L4" s="535" t="s">
        <v>80</v>
      </c>
      <c r="M4" s="536"/>
      <c r="N4" s="516" t="s">
        <v>81</v>
      </c>
    </row>
    <row r="5" spans="2:21" ht="20.100000000000001" customHeight="1">
      <c r="D5" s="31"/>
      <c r="E5" s="32"/>
      <c r="F5" s="32"/>
      <c r="G5" s="32"/>
      <c r="H5" s="33"/>
      <c r="I5" s="34"/>
      <c r="J5" s="51" t="s">
        <v>82</v>
      </c>
      <c r="K5" s="51" t="s">
        <v>83</v>
      </c>
      <c r="L5" s="51" t="s">
        <v>82</v>
      </c>
      <c r="M5" s="51" t="s">
        <v>84</v>
      </c>
      <c r="N5" s="517"/>
    </row>
    <row r="6" spans="2:21" ht="20.100000000000001" customHeight="1">
      <c r="B6" s="260"/>
      <c r="D6" s="264">
        <f t="shared" ref="D6:D12" si="0">IF(B6=0,0,VLOOKUP(B6,EQUIP,3,FALSE))</f>
        <v>0</v>
      </c>
      <c r="E6" s="265"/>
      <c r="F6" s="265"/>
      <c r="G6" s="265"/>
      <c r="H6" s="266"/>
      <c r="I6" s="318"/>
      <c r="J6" s="318"/>
      <c r="K6" s="318"/>
      <c r="L6" s="318">
        <f t="shared" ref="L6:L12" si="1">IF(B6=0,0,VLOOKUP(B6,EQUIP,6,FALSE))</f>
        <v>0</v>
      </c>
      <c r="M6" s="318">
        <f t="shared" ref="M6:M12" si="2">IF(B6=0,0,VLOOKUP(B6,EQUIP,7,FALSE))</f>
        <v>0</v>
      </c>
      <c r="N6" s="319">
        <f t="shared" ref="N6:N12" si="3">ROUND(I6*J6*L6+I6*K6*M6,2)</f>
        <v>0</v>
      </c>
    </row>
    <row r="7" spans="2:21" ht="20.100000000000001" customHeight="1">
      <c r="B7" s="260"/>
      <c r="D7" s="264">
        <f t="shared" si="0"/>
        <v>0</v>
      </c>
      <c r="E7" s="265"/>
      <c r="F7" s="265"/>
      <c r="G7" s="265"/>
      <c r="H7" s="266"/>
      <c r="I7" s="263"/>
      <c r="J7" s="263"/>
      <c r="K7" s="263"/>
      <c r="L7" s="318">
        <f t="shared" si="1"/>
        <v>0</v>
      </c>
      <c r="M7" s="318">
        <f t="shared" si="2"/>
        <v>0</v>
      </c>
      <c r="N7" s="319">
        <f t="shared" si="3"/>
        <v>0</v>
      </c>
    </row>
    <row r="8" spans="2:21" ht="20.100000000000001" customHeight="1">
      <c r="B8" s="260"/>
      <c r="D8" s="264">
        <f t="shared" si="0"/>
        <v>0</v>
      </c>
      <c r="E8" s="265"/>
      <c r="F8" s="265"/>
      <c r="G8" s="265"/>
      <c r="H8" s="266"/>
      <c r="I8" s="318"/>
      <c r="J8" s="318"/>
      <c r="K8" s="318"/>
      <c r="L8" s="318">
        <f t="shared" si="1"/>
        <v>0</v>
      </c>
      <c r="M8" s="318">
        <f t="shared" si="2"/>
        <v>0</v>
      </c>
      <c r="N8" s="319">
        <f t="shared" si="3"/>
        <v>0</v>
      </c>
    </row>
    <row r="9" spans="2:21" ht="20.100000000000001" customHeight="1">
      <c r="B9" s="260"/>
      <c r="D9" s="264">
        <f t="shared" si="0"/>
        <v>0</v>
      </c>
      <c r="E9" s="265"/>
      <c r="F9" s="265"/>
      <c r="G9" s="265"/>
      <c r="H9" s="266"/>
      <c r="I9" s="263"/>
      <c r="J9" s="263"/>
      <c r="K9" s="263"/>
      <c r="L9" s="318">
        <f t="shared" si="1"/>
        <v>0</v>
      </c>
      <c r="M9" s="318">
        <f t="shared" si="2"/>
        <v>0</v>
      </c>
      <c r="N9" s="319">
        <f t="shared" si="3"/>
        <v>0</v>
      </c>
    </row>
    <row r="10" spans="2:21" ht="20.100000000000001" customHeight="1">
      <c r="B10" s="260"/>
      <c r="D10" s="264">
        <f t="shared" si="0"/>
        <v>0</v>
      </c>
      <c r="E10" s="265"/>
      <c r="F10" s="265"/>
      <c r="G10" s="265"/>
      <c r="H10" s="266"/>
      <c r="I10" s="263"/>
      <c r="J10" s="263"/>
      <c r="K10" s="263"/>
      <c r="L10" s="318">
        <f t="shared" si="1"/>
        <v>0</v>
      </c>
      <c r="M10" s="318">
        <f t="shared" si="2"/>
        <v>0</v>
      </c>
      <c r="N10" s="319">
        <f t="shared" si="3"/>
        <v>0</v>
      </c>
    </row>
    <row r="11" spans="2:21" ht="20.100000000000001" customHeight="1">
      <c r="B11" s="260"/>
      <c r="D11" s="264">
        <f t="shared" si="0"/>
        <v>0</v>
      </c>
      <c r="E11" s="265"/>
      <c r="F11" s="265"/>
      <c r="G11" s="265"/>
      <c r="H11" s="266"/>
      <c r="I11" s="263"/>
      <c r="J11" s="318"/>
      <c r="K11" s="318"/>
      <c r="L11" s="318">
        <f t="shared" si="1"/>
        <v>0</v>
      </c>
      <c r="M11" s="318">
        <f t="shared" si="2"/>
        <v>0</v>
      </c>
      <c r="N11" s="319">
        <f t="shared" si="3"/>
        <v>0</v>
      </c>
    </row>
    <row r="12" spans="2:21" ht="20.100000000000001" customHeight="1">
      <c r="B12" s="260"/>
      <c r="D12" s="264">
        <f t="shared" si="0"/>
        <v>0</v>
      </c>
      <c r="E12" s="265"/>
      <c r="F12" s="265"/>
      <c r="G12" s="265"/>
      <c r="H12" s="266"/>
      <c r="I12" s="263"/>
      <c r="J12" s="318"/>
      <c r="K12" s="318"/>
      <c r="L12" s="318">
        <f t="shared" si="1"/>
        <v>0</v>
      </c>
      <c r="M12" s="318">
        <f t="shared" si="2"/>
        <v>0</v>
      </c>
      <c r="N12" s="319">
        <f t="shared" si="3"/>
        <v>0</v>
      </c>
    </row>
    <row r="13" spans="2:21" ht="20.100000000000001" customHeight="1">
      <c r="D13" s="155"/>
      <c r="E13" s="156"/>
      <c r="F13" s="156"/>
      <c r="G13" s="156"/>
      <c r="H13" s="156"/>
      <c r="I13" s="235"/>
      <c r="J13" s="157"/>
      <c r="K13" s="157"/>
      <c r="L13" s="216"/>
      <c r="M13" s="42" t="s">
        <v>89</v>
      </c>
      <c r="N13" s="441">
        <f>SUM(N6:N12)</f>
        <v>0</v>
      </c>
    </row>
    <row r="14" spans="2:21" ht="3.95" customHeight="1">
      <c r="D14" s="158"/>
      <c r="E14" s="159"/>
      <c r="F14" s="159"/>
      <c r="G14" s="160"/>
      <c r="H14" s="159"/>
      <c r="I14" s="236"/>
      <c r="J14" s="161"/>
      <c r="K14" s="162"/>
      <c r="L14" s="163"/>
      <c r="M14" s="163"/>
      <c r="N14" s="300"/>
    </row>
    <row r="15" spans="2:21" ht="20.100000000000001" customHeight="1">
      <c r="D15" s="518" t="s">
        <v>90</v>
      </c>
      <c r="E15" s="519"/>
      <c r="F15" s="519"/>
      <c r="G15" s="519"/>
      <c r="H15" s="519"/>
      <c r="I15" s="519"/>
      <c r="J15" s="513"/>
      <c r="K15" s="50" t="s">
        <v>91</v>
      </c>
      <c r="L15" s="51" t="s">
        <v>92</v>
      </c>
      <c r="M15" s="51" t="s">
        <v>93</v>
      </c>
      <c r="N15" s="272" t="s">
        <v>94</v>
      </c>
    </row>
    <row r="16" spans="2:21" ht="20.100000000000001" customHeight="1">
      <c r="B16" s="260"/>
      <c r="D16" s="264">
        <f>IF(B16=0,0,VLOOKUP(B16,MO,2,FALSE))</f>
        <v>0</v>
      </c>
      <c r="E16" s="53"/>
      <c r="F16" s="53"/>
      <c r="G16" s="53"/>
      <c r="H16" s="53"/>
      <c r="I16" s="36"/>
      <c r="J16" s="54"/>
      <c r="K16" s="152"/>
      <c r="L16" s="164"/>
      <c r="M16" s="263">
        <f>IF(B16=0,0,VLOOKUP(B16,MO,6,FALSE))</f>
        <v>0</v>
      </c>
      <c r="N16" s="316">
        <f>ROUND(L16*M16,2)</f>
        <v>0</v>
      </c>
    </row>
    <row r="17" spans="2:14" ht="20.100000000000001" customHeight="1">
      <c r="B17" s="260"/>
      <c r="D17" s="264">
        <f>IF(B17=0,0,VLOOKUP(B17,MO,2,FALSE))</f>
        <v>0</v>
      </c>
      <c r="E17" s="53"/>
      <c r="F17" s="53"/>
      <c r="G17" s="53"/>
      <c r="H17" s="53"/>
      <c r="I17" s="36"/>
      <c r="J17" s="54"/>
      <c r="K17" s="152"/>
      <c r="L17" s="164"/>
      <c r="M17" s="263">
        <f>IF(B17=0,0,VLOOKUP(B17,MO,6,FALSE))</f>
        <v>0</v>
      </c>
      <c r="N17" s="316">
        <f>ROUND(L17*M17,2)</f>
        <v>0</v>
      </c>
    </row>
    <row r="18" spans="2:14" ht="20.100000000000001" customHeight="1">
      <c r="B18" s="260"/>
      <c r="D18" s="52" t="s">
        <v>122</v>
      </c>
      <c r="E18" s="53"/>
      <c r="F18" s="53"/>
      <c r="G18" s="53"/>
      <c r="H18" s="53"/>
      <c r="I18" s="36"/>
      <c r="J18" s="54"/>
      <c r="K18" s="165">
        <v>0</v>
      </c>
      <c r="L18" s="320">
        <f>N16+N17</f>
        <v>0</v>
      </c>
      <c r="M18" s="164"/>
      <c r="N18" s="316">
        <f>ROUND(L18*K18,2)</f>
        <v>0</v>
      </c>
    </row>
    <row r="19" spans="2:14" ht="20.100000000000001" customHeight="1">
      <c r="D19" s="167"/>
      <c r="E19" s="59"/>
      <c r="F19" s="168"/>
      <c r="G19" s="168"/>
      <c r="H19" s="159"/>
      <c r="I19" s="236"/>
      <c r="J19" s="169"/>
      <c r="K19" s="162"/>
      <c r="L19" s="163"/>
      <c r="M19" s="62" t="s">
        <v>98</v>
      </c>
      <c r="N19" s="437">
        <f>SUM(N16:N18)</f>
        <v>0</v>
      </c>
    </row>
    <row r="20" spans="2:14" ht="3.95" customHeight="1">
      <c r="D20" s="158"/>
      <c r="E20" s="159"/>
      <c r="F20" s="159"/>
      <c r="G20" s="159"/>
      <c r="H20" s="159"/>
      <c r="I20" s="236"/>
      <c r="J20" s="169"/>
      <c r="K20" s="162"/>
      <c r="L20" s="163"/>
      <c r="M20" s="163"/>
      <c r="N20" s="300"/>
    </row>
    <row r="21" spans="2:14" ht="20.100000000000001" customHeight="1">
      <c r="D21" s="170"/>
      <c r="E21" s="168"/>
      <c r="F21" s="168"/>
      <c r="G21" s="168"/>
      <c r="H21" s="171"/>
      <c r="I21" s="237"/>
      <c r="J21" s="171"/>
      <c r="K21" s="509" t="s">
        <v>99</v>
      </c>
      <c r="L21" s="510"/>
      <c r="M21" s="511"/>
      <c r="N21" s="439">
        <f>+N13+N19</f>
        <v>0</v>
      </c>
    </row>
    <row r="22" spans="2:14" ht="3.95" customHeight="1">
      <c r="D22" s="172"/>
      <c r="E22" s="159"/>
      <c r="F22" s="159"/>
      <c r="G22" s="160"/>
      <c r="H22" s="159"/>
      <c r="I22" s="236"/>
      <c r="J22" s="161"/>
      <c r="K22" s="162"/>
      <c r="L22" s="163"/>
      <c r="M22" s="163"/>
      <c r="N22" s="300"/>
    </row>
    <row r="23" spans="2:14" ht="20.100000000000001" customHeight="1">
      <c r="D23" s="167"/>
      <c r="E23" s="509" t="s">
        <v>100</v>
      </c>
      <c r="F23" s="510"/>
      <c r="G23" s="510"/>
      <c r="H23" s="511"/>
      <c r="I23" s="238">
        <v>1</v>
      </c>
      <c r="J23" s="163"/>
      <c r="K23" s="506" t="s">
        <v>101</v>
      </c>
      <c r="L23" s="507"/>
      <c r="M23" s="508"/>
      <c r="N23" s="440">
        <f>ROUND(N21/I23,2)</f>
        <v>0</v>
      </c>
    </row>
    <row r="24" spans="2:14" ht="3.95" customHeight="1">
      <c r="D24" s="158"/>
      <c r="E24" s="159"/>
      <c r="F24" s="159"/>
      <c r="G24" s="173"/>
      <c r="H24" s="159"/>
      <c r="I24" s="163"/>
      <c r="J24" s="161"/>
      <c r="K24" s="161"/>
      <c r="L24" s="163"/>
      <c r="M24" s="161"/>
      <c r="N24" s="305"/>
    </row>
    <row r="25" spans="2:14" ht="20.100000000000001" customHeight="1">
      <c r="D25" s="49" t="s">
        <v>102</v>
      </c>
      <c r="E25" s="22"/>
      <c r="F25" s="22"/>
      <c r="G25" s="22"/>
      <c r="H25" s="22"/>
      <c r="I25" s="141"/>
      <c r="J25" s="23"/>
      <c r="K25" s="50" t="s">
        <v>103</v>
      </c>
      <c r="L25" s="51" t="s">
        <v>80</v>
      </c>
      <c r="M25" s="51" t="s">
        <v>104</v>
      </c>
      <c r="N25" s="272" t="s">
        <v>105</v>
      </c>
    </row>
    <row r="26" spans="2:14" ht="20.100000000000001" customHeight="1">
      <c r="B26" s="260" t="s">
        <v>380</v>
      </c>
      <c r="D26" s="52" t="str">
        <f>IF(B26=0,0,VLOOKUP(B26,MAT,3,FALSE))</f>
        <v>AREIA LAVADA</v>
      </c>
      <c r="E26" s="53"/>
      <c r="F26" s="53"/>
      <c r="G26" s="53"/>
      <c r="H26" s="53"/>
      <c r="I26" s="36"/>
      <c r="J26" s="54"/>
      <c r="K26" s="66" t="str">
        <f>IF(B26=0,0,VLOOKUP(B26,MAT,5,FALSE))</f>
        <v>M3</v>
      </c>
      <c r="L26" s="67">
        <f>IF(B26=0,0,VLOOKUP(B26,MAT,6,FALSE))</f>
        <v>23.28</v>
      </c>
      <c r="M26" s="174">
        <v>1</v>
      </c>
      <c r="N26" s="301">
        <f>ROUND(L26*M26,2)</f>
        <v>23.28</v>
      </c>
    </row>
    <row r="27" spans="2:14" ht="20.100000000000001" customHeight="1">
      <c r="B27" s="260"/>
      <c r="D27" s="264">
        <f>IF(B27=0,0,VLOOKUP(B27,MAT,3,FALSE))</f>
        <v>0</v>
      </c>
      <c r="E27" s="53"/>
      <c r="F27" s="53"/>
      <c r="G27" s="53"/>
      <c r="H27" s="53"/>
      <c r="I27" s="36"/>
      <c r="J27" s="54"/>
      <c r="K27" s="262">
        <f>IF(B27=0,0,VLOOKUP(B27,MAT,5,FALSE))</f>
        <v>0</v>
      </c>
      <c r="L27" s="267">
        <f>IF(B27=0,0,VLOOKUP(B27,MAT,6,FALSE))</f>
        <v>0</v>
      </c>
      <c r="M27" s="174"/>
      <c r="N27" s="316">
        <f>ROUND(L27*M27,2)</f>
        <v>0</v>
      </c>
    </row>
    <row r="28" spans="2:14" ht="20.100000000000001" customHeight="1">
      <c r="B28" s="260"/>
      <c r="D28" s="264">
        <f>IF(B28=0,0,VLOOKUP(B28,MAT,3,FALSE))</f>
        <v>0</v>
      </c>
      <c r="E28" s="53"/>
      <c r="F28" s="53"/>
      <c r="G28" s="53"/>
      <c r="H28" s="53"/>
      <c r="I28" s="36"/>
      <c r="J28" s="54"/>
      <c r="K28" s="262">
        <f>IF(B28=0,0,VLOOKUP(B28,MAT,5,FALSE))</f>
        <v>0</v>
      </c>
      <c r="L28" s="267">
        <f>IF(B28=0,0,VLOOKUP(B28,MAT,6,FALSE))</f>
        <v>0</v>
      </c>
      <c r="M28" s="174"/>
      <c r="N28" s="316">
        <f>ROUND(L28*M28,2)</f>
        <v>0</v>
      </c>
    </row>
    <row r="29" spans="2:14" ht="20.100000000000001" customHeight="1">
      <c r="D29" s="158"/>
      <c r="E29" s="159"/>
      <c r="F29" s="159"/>
      <c r="G29" s="173"/>
      <c r="H29" s="159"/>
      <c r="I29" s="163"/>
      <c r="J29" s="161"/>
      <c r="K29" s="161"/>
      <c r="L29" s="163"/>
      <c r="M29" s="71" t="s">
        <v>106</v>
      </c>
      <c r="N29" s="302">
        <f>SUM(N26:N28)</f>
        <v>23.28</v>
      </c>
    </row>
    <row r="30" spans="2:14" ht="20.100000000000001" customHeight="1">
      <c r="D30" s="158"/>
      <c r="E30" s="159"/>
      <c r="F30" s="159"/>
      <c r="G30" s="173"/>
      <c r="H30" s="159"/>
      <c r="I30" s="163"/>
      <c r="J30" s="161"/>
      <c r="K30" s="161"/>
      <c r="L30" s="163"/>
      <c r="M30" s="161"/>
      <c r="N30" s="305"/>
    </row>
    <row r="31" spans="2:14" ht="20.100000000000001" customHeight="1">
      <c r="D31" s="527" t="s">
        <v>107</v>
      </c>
      <c r="E31" s="72" t="s">
        <v>2</v>
      </c>
      <c r="F31" s="73"/>
      <c r="G31" s="73"/>
      <c r="H31" s="74"/>
      <c r="I31" s="498" t="s">
        <v>108</v>
      </c>
      <c r="J31" s="499"/>
      <c r="K31" s="531" t="s">
        <v>103</v>
      </c>
      <c r="L31" s="514" t="s">
        <v>80</v>
      </c>
      <c r="M31" s="531" t="s">
        <v>109</v>
      </c>
      <c r="N31" s="529" t="s">
        <v>105</v>
      </c>
    </row>
    <row r="32" spans="2:14" ht="20.100000000000001" customHeight="1">
      <c r="D32" s="528"/>
      <c r="E32" s="512" t="s">
        <v>110</v>
      </c>
      <c r="F32" s="513"/>
      <c r="G32" s="512" t="s">
        <v>111</v>
      </c>
      <c r="H32" s="513"/>
      <c r="I32" s="500"/>
      <c r="J32" s="501"/>
      <c r="K32" s="532"/>
      <c r="L32" s="515"/>
      <c r="M32" s="532"/>
      <c r="N32" s="530"/>
    </row>
    <row r="33" spans="2:21" ht="20.100000000000001" customHeight="1">
      <c r="B33" s="260"/>
      <c r="D33" s="261">
        <f>IF(B33=0,0,VLOOKUP(B33,TRANS,3,FALSE))</f>
        <v>0</v>
      </c>
      <c r="E33" s="581">
        <f>IF(B33=0,0,VLOOKUP(B33,TRANS,5,FALSE))</f>
        <v>0</v>
      </c>
      <c r="F33" s="582"/>
      <c r="G33" s="502"/>
      <c r="H33" s="503"/>
      <c r="I33" s="533"/>
      <c r="J33" s="534">
        <v>50</v>
      </c>
      <c r="K33" s="262">
        <f>IF(B33=0,0,VLOOKUP(B33,TRANS,4,FALSE))</f>
        <v>0</v>
      </c>
      <c r="L33" s="387">
        <f>E33*I33</f>
        <v>0</v>
      </c>
      <c r="M33" s="70"/>
      <c r="N33" s="317">
        <f>ROUND(L33*M33,2)</f>
        <v>0</v>
      </c>
    </row>
    <row r="34" spans="2:21" ht="20.100000000000001" customHeight="1">
      <c r="B34" s="260"/>
      <c r="D34" s="261"/>
      <c r="E34" s="504"/>
      <c r="F34" s="505"/>
      <c r="G34" s="502"/>
      <c r="H34" s="503"/>
      <c r="I34" s="533"/>
      <c r="J34" s="534"/>
      <c r="K34" s="66"/>
      <c r="L34" s="67"/>
      <c r="M34" s="70"/>
      <c r="N34" s="278"/>
    </row>
    <row r="35" spans="2:21" ht="20.100000000000001" customHeight="1">
      <c r="D35" s="175"/>
      <c r="E35" s="176"/>
      <c r="F35" s="159"/>
      <c r="G35" s="173"/>
      <c r="H35" s="159"/>
      <c r="I35" s="163"/>
      <c r="J35" s="161"/>
      <c r="K35" s="161"/>
      <c r="L35" s="163"/>
      <c r="M35" s="71" t="s">
        <v>112</v>
      </c>
      <c r="N35" s="437">
        <f>SUM(N33:N34)</f>
        <v>0</v>
      </c>
    </row>
    <row r="36" spans="2:21" ht="3.95" customHeight="1" thickBot="1">
      <c r="D36" s="175"/>
      <c r="E36" s="159"/>
      <c r="F36" s="173"/>
      <c r="G36" s="159"/>
      <c r="H36" s="161"/>
      <c r="I36" s="163"/>
      <c r="J36" s="161"/>
      <c r="K36" s="161"/>
      <c r="L36" s="163"/>
      <c r="M36" s="161"/>
      <c r="N36" s="305"/>
    </row>
    <row r="37" spans="2:21" ht="20.100000000000001" customHeight="1">
      <c r="D37" s="177"/>
      <c r="E37" s="178"/>
      <c r="F37" s="178"/>
      <c r="G37" s="178"/>
      <c r="H37" s="179"/>
      <c r="I37" s="239"/>
      <c r="J37" s="127" t="s">
        <v>114</v>
      </c>
      <c r="K37" s="128"/>
      <c r="L37" s="306"/>
      <c r="M37" s="129">
        <v>0</v>
      </c>
      <c r="N37" s="447">
        <f>(+$N23+$N29+$N35)*M37</f>
        <v>0</v>
      </c>
    </row>
    <row r="38" spans="2:21" ht="20.100000000000001" customHeight="1" thickBot="1">
      <c r="D38" s="180"/>
      <c r="E38" s="181"/>
      <c r="F38" s="181"/>
      <c r="G38" s="181"/>
      <c r="H38" s="181"/>
      <c r="I38" s="240"/>
      <c r="J38" s="537" t="s">
        <v>149</v>
      </c>
      <c r="K38" s="538"/>
      <c r="L38" s="538"/>
      <c r="M38" s="538"/>
      <c r="N38" s="308">
        <f>+$N23+$N29+$N35+N37</f>
        <v>23.28</v>
      </c>
    </row>
    <row r="39" spans="2:21" ht="20.100000000000001" customHeight="1" thickBot="1">
      <c r="D39" s="182"/>
      <c r="E39" s="183"/>
      <c r="F39" s="183"/>
      <c r="G39" s="183"/>
      <c r="H39" s="183"/>
      <c r="I39" s="241"/>
      <c r="J39" s="184" t="s">
        <v>158</v>
      </c>
      <c r="K39" s="185"/>
      <c r="L39" s="309"/>
      <c r="M39" s="186">
        <v>0</v>
      </c>
      <c r="N39" s="310">
        <f>(M39*N38)+N38</f>
        <v>23.28</v>
      </c>
      <c r="O39" s="210"/>
      <c r="P39" s="16">
        <v>48.42</v>
      </c>
      <c r="R39" s="90">
        <f>(N39/P39)-1</f>
        <v>-0.51920693928128869</v>
      </c>
    </row>
    <row r="40" spans="2:21" ht="20.100000000000001" customHeight="1">
      <c r="D40" s="161"/>
      <c r="E40" s="161"/>
      <c r="F40" s="161"/>
      <c r="G40" s="161"/>
      <c r="H40" s="161"/>
      <c r="I40" s="163"/>
      <c r="J40" s="154"/>
      <c r="K40" s="168"/>
      <c r="L40" s="313"/>
      <c r="M40" s="314"/>
      <c r="N40" s="315"/>
      <c r="O40" s="210"/>
      <c r="R40" s="90"/>
    </row>
    <row r="41" spans="2:21" ht="20.100000000000001" customHeight="1">
      <c r="D41" s="161"/>
      <c r="E41" s="161"/>
      <c r="F41" s="161"/>
      <c r="G41" s="161"/>
      <c r="H41" s="161"/>
      <c r="I41" s="163"/>
      <c r="J41" s="154"/>
      <c r="K41" s="168"/>
      <c r="L41" s="313"/>
      <c r="M41" s="314"/>
      <c r="N41" s="315"/>
      <c r="O41" s="210"/>
      <c r="R41" s="90"/>
    </row>
    <row r="42" spans="2:21" ht="20.100000000000001" customHeight="1" thickBot="1"/>
    <row r="43" spans="2:21" ht="20.100000000000001" customHeight="1">
      <c r="D43" s="598" t="s">
        <v>305</v>
      </c>
      <c r="E43" s="599"/>
      <c r="F43" s="524" t="s">
        <v>74</v>
      </c>
      <c r="G43" s="525"/>
      <c r="H43" s="525"/>
      <c r="I43" s="525"/>
      <c r="J43" s="525"/>
      <c r="K43" s="525"/>
      <c r="L43" s="526"/>
      <c r="M43" s="19" t="s">
        <v>75</v>
      </c>
      <c r="N43" s="20" t="s">
        <v>76</v>
      </c>
      <c r="U43" s="132">
        <f>N80</f>
        <v>30.630000000000003</v>
      </c>
    </row>
    <row r="44" spans="2:21" ht="20.100000000000001" customHeight="1">
      <c r="D44" s="600"/>
      <c r="E44" s="601"/>
      <c r="F44" s="512" t="s">
        <v>172</v>
      </c>
      <c r="G44" s="519"/>
      <c r="H44" s="519"/>
      <c r="I44" s="519"/>
      <c r="J44" s="519"/>
      <c r="K44" s="519"/>
      <c r="L44" s="513"/>
      <c r="M44" s="24" t="s">
        <v>5</v>
      </c>
      <c r="N44" s="25">
        <f>DATA</f>
        <v>41214</v>
      </c>
    </row>
    <row r="45" spans="2:21" ht="20.100000000000001" customHeight="1">
      <c r="D45" s="26" t="s">
        <v>77</v>
      </c>
      <c r="E45" s="27"/>
      <c r="F45" s="27"/>
      <c r="G45" s="27"/>
      <c r="H45" s="28"/>
      <c r="I45" s="214" t="s">
        <v>78</v>
      </c>
      <c r="J45" s="509" t="s">
        <v>79</v>
      </c>
      <c r="K45" s="511"/>
      <c r="L45" s="535" t="s">
        <v>80</v>
      </c>
      <c r="M45" s="536"/>
      <c r="N45" s="516" t="s">
        <v>81</v>
      </c>
    </row>
    <row r="46" spans="2:21" ht="20.100000000000001" customHeight="1">
      <c r="D46" s="31"/>
      <c r="E46" s="32"/>
      <c r="F46" s="32"/>
      <c r="G46" s="32"/>
      <c r="H46" s="33"/>
      <c r="I46" s="34"/>
      <c r="J46" s="51" t="s">
        <v>82</v>
      </c>
      <c r="K46" s="51" t="s">
        <v>83</v>
      </c>
      <c r="L46" s="51" t="s">
        <v>82</v>
      </c>
      <c r="M46" s="51" t="s">
        <v>84</v>
      </c>
      <c r="N46" s="517"/>
    </row>
    <row r="47" spans="2:21" ht="20.100000000000001" customHeight="1">
      <c r="B47" s="260"/>
      <c r="D47" s="264">
        <f t="shared" ref="D47:D53" si="4">IF(B47=0,0,VLOOKUP(B47,EQUIP,3,FALSE))</f>
        <v>0</v>
      </c>
      <c r="E47" s="265"/>
      <c r="F47" s="265"/>
      <c r="G47" s="265"/>
      <c r="H47" s="266"/>
      <c r="I47" s="318"/>
      <c r="J47" s="318"/>
      <c r="K47" s="318"/>
      <c r="L47" s="318">
        <f t="shared" ref="L47:L53" si="5">IF(B47=0,0,VLOOKUP(B47,EQUIP,6,FALSE))</f>
        <v>0</v>
      </c>
      <c r="M47" s="318">
        <f t="shared" ref="M47:M53" si="6">IF(B47=0,0,VLOOKUP(B47,EQUIP,7,FALSE))</f>
        <v>0</v>
      </c>
      <c r="N47" s="319">
        <f t="shared" ref="N47:N53" si="7">ROUND(I47*J47*L47+I47*K47*M47,2)</f>
        <v>0</v>
      </c>
    </row>
    <row r="48" spans="2:21" ht="20.100000000000001" customHeight="1">
      <c r="B48" s="260"/>
      <c r="D48" s="264">
        <f t="shared" si="4"/>
        <v>0</v>
      </c>
      <c r="E48" s="265"/>
      <c r="F48" s="265"/>
      <c r="G48" s="265"/>
      <c r="H48" s="266"/>
      <c r="I48" s="263"/>
      <c r="J48" s="263"/>
      <c r="K48" s="263"/>
      <c r="L48" s="318">
        <f t="shared" si="5"/>
        <v>0</v>
      </c>
      <c r="M48" s="318">
        <f t="shared" si="6"/>
        <v>0</v>
      </c>
      <c r="N48" s="319">
        <f t="shared" si="7"/>
        <v>0</v>
      </c>
    </row>
    <row r="49" spans="2:14" ht="20.100000000000001" customHeight="1">
      <c r="B49" s="260"/>
      <c r="D49" s="264">
        <f t="shared" si="4"/>
        <v>0</v>
      </c>
      <c r="E49" s="265"/>
      <c r="F49" s="265"/>
      <c r="G49" s="265"/>
      <c r="H49" s="266"/>
      <c r="I49" s="318"/>
      <c r="J49" s="318"/>
      <c r="K49" s="318"/>
      <c r="L49" s="318">
        <f t="shared" si="5"/>
        <v>0</v>
      </c>
      <c r="M49" s="318">
        <f t="shared" si="6"/>
        <v>0</v>
      </c>
      <c r="N49" s="319">
        <f t="shared" si="7"/>
        <v>0</v>
      </c>
    </row>
    <row r="50" spans="2:14" ht="20.100000000000001" customHeight="1">
      <c r="B50" s="260"/>
      <c r="D50" s="264">
        <f t="shared" si="4"/>
        <v>0</v>
      </c>
      <c r="E50" s="265"/>
      <c r="F50" s="265"/>
      <c r="G50" s="265"/>
      <c r="H50" s="266"/>
      <c r="I50" s="263"/>
      <c r="J50" s="263"/>
      <c r="K50" s="263"/>
      <c r="L50" s="318">
        <f t="shared" si="5"/>
        <v>0</v>
      </c>
      <c r="M50" s="318">
        <f t="shared" si="6"/>
        <v>0</v>
      </c>
      <c r="N50" s="319">
        <f t="shared" si="7"/>
        <v>0</v>
      </c>
    </row>
    <row r="51" spans="2:14" ht="20.100000000000001" customHeight="1">
      <c r="B51" s="260"/>
      <c r="D51" s="264">
        <f t="shared" si="4"/>
        <v>0</v>
      </c>
      <c r="E51" s="265"/>
      <c r="F51" s="265"/>
      <c r="G51" s="265"/>
      <c r="H51" s="266"/>
      <c r="I51" s="263"/>
      <c r="J51" s="263"/>
      <c r="K51" s="263"/>
      <c r="L51" s="318">
        <f t="shared" si="5"/>
        <v>0</v>
      </c>
      <c r="M51" s="318">
        <f t="shared" si="6"/>
        <v>0</v>
      </c>
      <c r="N51" s="319">
        <f t="shared" si="7"/>
        <v>0</v>
      </c>
    </row>
    <row r="52" spans="2:14" ht="20.100000000000001" customHeight="1">
      <c r="B52" s="260"/>
      <c r="D52" s="264">
        <f t="shared" si="4"/>
        <v>0</v>
      </c>
      <c r="E52" s="265"/>
      <c r="F52" s="265"/>
      <c r="G52" s="265"/>
      <c r="H52" s="266"/>
      <c r="I52" s="263"/>
      <c r="J52" s="318"/>
      <c r="K52" s="318"/>
      <c r="L52" s="318">
        <f t="shared" si="5"/>
        <v>0</v>
      </c>
      <c r="M52" s="318">
        <f t="shared" si="6"/>
        <v>0</v>
      </c>
      <c r="N52" s="319">
        <f t="shared" si="7"/>
        <v>0</v>
      </c>
    </row>
    <row r="53" spans="2:14" ht="20.100000000000001" customHeight="1">
      <c r="B53" s="260"/>
      <c r="D53" s="264">
        <f t="shared" si="4"/>
        <v>0</v>
      </c>
      <c r="E53" s="265"/>
      <c r="F53" s="265"/>
      <c r="G53" s="265"/>
      <c r="H53" s="266"/>
      <c r="I53" s="263"/>
      <c r="J53" s="318"/>
      <c r="K53" s="318"/>
      <c r="L53" s="318">
        <f t="shared" si="5"/>
        <v>0</v>
      </c>
      <c r="M53" s="318">
        <f t="shared" si="6"/>
        <v>0</v>
      </c>
      <c r="N53" s="319">
        <f t="shared" si="7"/>
        <v>0</v>
      </c>
    </row>
    <row r="54" spans="2:14" ht="20.100000000000001" customHeight="1">
      <c r="D54" s="155"/>
      <c r="E54" s="156"/>
      <c r="F54" s="156"/>
      <c r="G54" s="156"/>
      <c r="H54" s="156"/>
      <c r="I54" s="235"/>
      <c r="J54" s="157"/>
      <c r="K54" s="157"/>
      <c r="L54" s="216"/>
      <c r="M54" s="42" t="s">
        <v>89</v>
      </c>
      <c r="N54" s="441">
        <f>SUM(N47:N53)</f>
        <v>0</v>
      </c>
    </row>
    <row r="55" spans="2:14" ht="3.95" customHeight="1">
      <c r="D55" s="158"/>
      <c r="E55" s="159"/>
      <c r="F55" s="159"/>
      <c r="G55" s="160"/>
      <c r="H55" s="159"/>
      <c r="I55" s="236"/>
      <c r="J55" s="161"/>
      <c r="K55" s="162"/>
      <c r="L55" s="163"/>
      <c r="M55" s="163"/>
      <c r="N55" s="300"/>
    </row>
    <row r="56" spans="2:14" ht="20.100000000000001" customHeight="1">
      <c r="D56" s="518" t="s">
        <v>90</v>
      </c>
      <c r="E56" s="519"/>
      <c r="F56" s="519"/>
      <c r="G56" s="519"/>
      <c r="H56" s="519"/>
      <c r="I56" s="519"/>
      <c r="J56" s="513"/>
      <c r="K56" s="50" t="s">
        <v>91</v>
      </c>
      <c r="L56" s="51" t="s">
        <v>92</v>
      </c>
      <c r="M56" s="51" t="s">
        <v>93</v>
      </c>
      <c r="N56" s="272" t="s">
        <v>94</v>
      </c>
    </row>
    <row r="57" spans="2:14" ht="20.100000000000001" customHeight="1">
      <c r="B57" s="260"/>
      <c r="D57" s="264">
        <f>IF(B57=0,0,VLOOKUP(B57,MO,2,FALSE))</f>
        <v>0</v>
      </c>
      <c r="E57" s="53"/>
      <c r="F57" s="53"/>
      <c r="G57" s="53"/>
      <c r="H57" s="53"/>
      <c r="I57" s="36"/>
      <c r="J57" s="54"/>
      <c r="K57" s="152"/>
      <c r="L57" s="164"/>
      <c r="M57" s="263">
        <f>IF(B57=0,0,VLOOKUP(B57,MO,6,FALSE))</f>
        <v>0</v>
      </c>
      <c r="N57" s="316">
        <f>ROUND(L57*M57,2)</f>
        <v>0</v>
      </c>
    </row>
    <row r="58" spans="2:14" ht="20.100000000000001" customHeight="1">
      <c r="B58" s="260"/>
      <c r="D58" s="264">
        <f>IF(B58=0,0,VLOOKUP(B58,MO,2,FALSE))</f>
        <v>0</v>
      </c>
      <c r="E58" s="53"/>
      <c r="F58" s="53"/>
      <c r="G58" s="53"/>
      <c r="H58" s="53"/>
      <c r="I58" s="36"/>
      <c r="J58" s="54"/>
      <c r="K58" s="152"/>
      <c r="L58" s="164"/>
      <c r="M58" s="263">
        <f>IF(B58=0,0,VLOOKUP(B58,MO,6,FALSE))</f>
        <v>0</v>
      </c>
      <c r="N58" s="316">
        <f>ROUND(L58*M58,2)</f>
        <v>0</v>
      </c>
    </row>
    <row r="59" spans="2:14" ht="20.100000000000001" customHeight="1">
      <c r="B59" s="260"/>
      <c r="D59" s="52" t="s">
        <v>122</v>
      </c>
      <c r="E59" s="53"/>
      <c r="F59" s="53"/>
      <c r="G59" s="53"/>
      <c r="H59" s="53"/>
      <c r="I59" s="36"/>
      <c r="J59" s="54"/>
      <c r="K59" s="165">
        <v>0</v>
      </c>
      <c r="L59" s="320">
        <f>N57+N58</f>
        <v>0</v>
      </c>
      <c r="M59" s="164"/>
      <c r="N59" s="316">
        <f>ROUND(L59*K59,2)</f>
        <v>0</v>
      </c>
    </row>
    <row r="60" spans="2:14" ht="20.100000000000001" customHeight="1">
      <c r="D60" s="167"/>
      <c r="E60" s="59"/>
      <c r="F60" s="168"/>
      <c r="G60" s="168"/>
      <c r="H60" s="159"/>
      <c r="I60" s="236"/>
      <c r="J60" s="169"/>
      <c r="K60" s="162"/>
      <c r="L60" s="163"/>
      <c r="M60" s="62" t="s">
        <v>98</v>
      </c>
      <c r="N60" s="437">
        <f>SUM(N57:N59)</f>
        <v>0</v>
      </c>
    </row>
    <row r="61" spans="2:14" ht="3.95" customHeight="1">
      <c r="D61" s="158"/>
      <c r="E61" s="159"/>
      <c r="F61" s="159"/>
      <c r="G61" s="159"/>
      <c r="H61" s="159"/>
      <c r="I61" s="236"/>
      <c r="J61" s="169"/>
      <c r="K61" s="162"/>
      <c r="L61" s="163"/>
      <c r="M61" s="163"/>
      <c r="N61" s="300"/>
    </row>
    <row r="62" spans="2:14" ht="20.100000000000001" customHeight="1">
      <c r="D62" s="170"/>
      <c r="E62" s="168"/>
      <c r="F62" s="168"/>
      <c r="G62" s="168"/>
      <c r="H62" s="171"/>
      <c r="I62" s="237"/>
      <c r="J62" s="171"/>
      <c r="K62" s="509" t="s">
        <v>99</v>
      </c>
      <c r="L62" s="510"/>
      <c r="M62" s="511"/>
      <c r="N62" s="439">
        <f>+N54+N60</f>
        <v>0</v>
      </c>
    </row>
    <row r="63" spans="2:14" ht="3.95" customHeight="1">
      <c r="D63" s="172"/>
      <c r="E63" s="159"/>
      <c r="F63" s="159"/>
      <c r="G63" s="160"/>
      <c r="H63" s="159"/>
      <c r="I63" s="236"/>
      <c r="J63" s="161"/>
      <c r="K63" s="162"/>
      <c r="L63" s="163"/>
      <c r="M63" s="163"/>
      <c r="N63" s="300"/>
    </row>
    <row r="64" spans="2:14" ht="20.100000000000001" customHeight="1">
      <c r="D64" s="167"/>
      <c r="E64" s="509" t="s">
        <v>100</v>
      </c>
      <c r="F64" s="510"/>
      <c r="G64" s="510"/>
      <c r="H64" s="511"/>
      <c r="I64" s="238">
        <v>1</v>
      </c>
      <c r="J64" s="163"/>
      <c r="K64" s="506" t="s">
        <v>101</v>
      </c>
      <c r="L64" s="507"/>
      <c r="M64" s="508"/>
      <c r="N64" s="440">
        <f>ROUND(N62/I64,2)</f>
        <v>0</v>
      </c>
    </row>
    <row r="65" spans="2:18" ht="3.95" customHeight="1">
      <c r="D65" s="158"/>
      <c r="E65" s="159"/>
      <c r="F65" s="159"/>
      <c r="G65" s="173"/>
      <c r="H65" s="159"/>
      <c r="I65" s="163"/>
      <c r="J65" s="161"/>
      <c r="K65" s="161"/>
      <c r="L65" s="163"/>
      <c r="M65" s="161"/>
      <c r="N65" s="305"/>
    </row>
    <row r="66" spans="2:18" ht="20.100000000000001" customHeight="1">
      <c r="D66" s="49" t="s">
        <v>102</v>
      </c>
      <c r="E66" s="22"/>
      <c r="F66" s="22"/>
      <c r="G66" s="22"/>
      <c r="H66" s="22"/>
      <c r="I66" s="141"/>
      <c r="J66" s="23"/>
      <c r="K66" s="50" t="s">
        <v>103</v>
      </c>
      <c r="L66" s="51" t="s">
        <v>80</v>
      </c>
      <c r="M66" s="51" t="s">
        <v>104</v>
      </c>
      <c r="N66" s="272" t="s">
        <v>105</v>
      </c>
    </row>
    <row r="67" spans="2:18" ht="20.100000000000001" customHeight="1">
      <c r="B67" s="260" t="s">
        <v>383</v>
      </c>
      <c r="D67" s="264" t="str">
        <f>IF(B67=0,0,VLOOKUP(B67,MAT,3,FALSE))</f>
        <v>BRITA 1</v>
      </c>
      <c r="E67" s="53"/>
      <c r="F67" s="53"/>
      <c r="G67" s="53"/>
      <c r="H67" s="53"/>
      <c r="I67" s="36"/>
      <c r="J67" s="54"/>
      <c r="K67" s="66" t="str">
        <f>IF(B67=0,0,VLOOKUP(B67,MAT,5,FALSE))</f>
        <v>M3</v>
      </c>
      <c r="L67" s="267">
        <f>IF(B67=0,0,VLOOKUP(B67,MAT,6,FALSE))</f>
        <v>30.63</v>
      </c>
      <c r="M67" s="174">
        <v>0.33329999999999999</v>
      </c>
      <c r="N67" s="316">
        <f>ROUND(L67*M67,2)</f>
        <v>10.210000000000001</v>
      </c>
    </row>
    <row r="68" spans="2:18" ht="20.100000000000001" customHeight="1">
      <c r="B68" s="260" t="s">
        <v>384</v>
      </c>
      <c r="D68" s="264" t="str">
        <f>IF(B68=0,0,VLOOKUP(B68,MAT,3,FALSE))</f>
        <v>BRITA 2</v>
      </c>
      <c r="E68" s="53"/>
      <c r="F68" s="53"/>
      <c r="G68" s="53"/>
      <c r="H68" s="53"/>
      <c r="I68" s="36"/>
      <c r="J68" s="54"/>
      <c r="K68" s="262" t="str">
        <f>IF(B68=0,0,VLOOKUP(B68,MAT,5,FALSE))</f>
        <v>M3</v>
      </c>
      <c r="L68" s="267">
        <f>IF(B68=0,0,VLOOKUP(B68,MAT,6,FALSE))</f>
        <v>30.63</v>
      </c>
      <c r="M68" s="174">
        <v>0.33329999999999999</v>
      </c>
      <c r="N68" s="316">
        <f>ROUND(L68*M68,2)</f>
        <v>10.210000000000001</v>
      </c>
    </row>
    <row r="69" spans="2:18" ht="20.100000000000001" customHeight="1">
      <c r="B69" s="260" t="s">
        <v>385</v>
      </c>
      <c r="D69" s="264" t="str">
        <f>IF(B69=0,0,VLOOKUP(B69,MAT,3,FALSE))</f>
        <v>BRITA 3</v>
      </c>
      <c r="E69" s="53"/>
      <c r="F69" s="53"/>
      <c r="G69" s="53"/>
      <c r="H69" s="53"/>
      <c r="I69" s="36"/>
      <c r="J69" s="54"/>
      <c r="K69" s="262" t="str">
        <f>IF(B69=0,0,VLOOKUP(B69,MAT,5,FALSE))</f>
        <v>M3</v>
      </c>
      <c r="L69" s="267">
        <f>IF(B69=0,0,VLOOKUP(B69,MAT,6,FALSE))</f>
        <v>30.63</v>
      </c>
      <c r="M69" s="174">
        <v>0.33339999999999997</v>
      </c>
      <c r="N69" s="316">
        <f>ROUND(L69*M69,2)</f>
        <v>10.210000000000001</v>
      </c>
    </row>
    <row r="70" spans="2:18" ht="20.100000000000001" customHeight="1">
      <c r="D70" s="158"/>
      <c r="E70" s="159"/>
      <c r="F70" s="159"/>
      <c r="G70" s="173"/>
      <c r="H70" s="159"/>
      <c r="I70" s="163"/>
      <c r="J70" s="161"/>
      <c r="K70" s="161"/>
      <c r="L70" s="163"/>
      <c r="M70" s="71" t="s">
        <v>106</v>
      </c>
      <c r="N70" s="302">
        <f>SUM(N67:N69)</f>
        <v>30.630000000000003</v>
      </c>
    </row>
    <row r="71" spans="2:18" ht="20.100000000000001" customHeight="1">
      <c r="D71" s="158"/>
      <c r="E71" s="159"/>
      <c r="F71" s="159"/>
      <c r="G71" s="173"/>
      <c r="H71" s="159"/>
      <c r="I71" s="163"/>
      <c r="J71" s="161"/>
      <c r="K71" s="161"/>
      <c r="L71" s="163"/>
      <c r="M71" s="161"/>
      <c r="N71" s="305"/>
    </row>
    <row r="72" spans="2:18" ht="20.100000000000001" customHeight="1">
      <c r="D72" s="527" t="s">
        <v>107</v>
      </c>
      <c r="E72" s="72" t="s">
        <v>2</v>
      </c>
      <c r="F72" s="73"/>
      <c r="G72" s="73"/>
      <c r="H72" s="74"/>
      <c r="I72" s="498" t="s">
        <v>108</v>
      </c>
      <c r="J72" s="499"/>
      <c r="K72" s="531" t="s">
        <v>103</v>
      </c>
      <c r="L72" s="514" t="s">
        <v>80</v>
      </c>
      <c r="M72" s="531" t="s">
        <v>109</v>
      </c>
      <c r="N72" s="529" t="s">
        <v>105</v>
      </c>
    </row>
    <row r="73" spans="2:18" ht="20.100000000000001" customHeight="1">
      <c r="D73" s="528"/>
      <c r="E73" s="512" t="s">
        <v>110</v>
      </c>
      <c r="F73" s="513"/>
      <c r="G73" s="512" t="s">
        <v>111</v>
      </c>
      <c r="H73" s="513"/>
      <c r="I73" s="500"/>
      <c r="J73" s="501"/>
      <c r="K73" s="532"/>
      <c r="L73" s="515"/>
      <c r="M73" s="532"/>
      <c r="N73" s="530"/>
    </row>
    <row r="74" spans="2:18" ht="20.100000000000001" customHeight="1">
      <c r="B74" s="260"/>
      <c r="D74" s="261">
        <f>IF(B74=0,0,VLOOKUP(B74,TRANS,3,FALSE))</f>
        <v>0</v>
      </c>
      <c r="E74" s="581">
        <f>IF(B74=0,0,VLOOKUP(B74,TRANS,5,FALSE))</f>
        <v>0</v>
      </c>
      <c r="F74" s="582"/>
      <c r="G74" s="502"/>
      <c r="H74" s="503"/>
      <c r="I74" s="533"/>
      <c r="J74" s="534">
        <v>50</v>
      </c>
      <c r="K74" s="262">
        <f>IF(B74=0,0,VLOOKUP(B74,TRANS,4,FALSE))</f>
        <v>0</v>
      </c>
      <c r="L74" s="387">
        <f>E74*I74</f>
        <v>0</v>
      </c>
      <c r="M74" s="70"/>
      <c r="N74" s="317">
        <f>ROUND(L74*M74,2)</f>
        <v>0</v>
      </c>
    </row>
    <row r="75" spans="2:18" ht="20.100000000000001" customHeight="1">
      <c r="B75" s="260"/>
      <c r="D75" s="261"/>
      <c r="E75" s="504"/>
      <c r="F75" s="505"/>
      <c r="G75" s="502"/>
      <c r="H75" s="503"/>
      <c r="I75" s="533"/>
      <c r="J75" s="534"/>
      <c r="K75" s="66"/>
      <c r="L75" s="67"/>
      <c r="M75" s="70"/>
      <c r="N75" s="278"/>
    </row>
    <row r="76" spans="2:18" ht="20.100000000000001" customHeight="1">
      <c r="D76" s="175"/>
      <c r="E76" s="176"/>
      <c r="F76" s="159"/>
      <c r="G76" s="173"/>
      <c r="H76" s="159"/>
      <c r="I76" s="163"/>
      <c r="J76" s="161"/>
      <c r="K76" s="161"/>
      <c r="L76" s="163"/>
      <c r="M76" s="71" t="s">
        <v>112</v>
      </c>
      <c r="N76" s="437">
        <f>SUM(N74:N75)</f>
        <v>0</v>
      </c>
    </row>
    <row r="77" spans="2:18" ht="3.95" customHeight="1" thickBot="1">
      <c r="D77" s="175"/>
      <c r="E77" s="159"/>
      <c r="F77" s="173"/>
      <c r="G77" s="159"/>
      <c r="H77" s="161"/>
      <c r="I77" s="163"/>
      <c r="J77" s="161"/>
      <c r="K77" s="161"/>
      <c r="L77" s="163"/>
      <c r="M77" s="161"/>
      <c r="N77" s="305"/>
    </row>
    <row r="78" spans="2:18" ht="20.100000000000001" customHeight="1">
      <c r="D78" s="177"/>
      <c r="E78" s="178"/>
      <c r="F78" s="178"/>
      <c r="G78" s="178"/>
      <c r="H78" s="179"/>
      <c r="I78" s="239"/>
      <c r="J78" s="127" t="s">
        <v>114</v>
      </c>
      <c r="K78" s="128"/>
      <c r="L78" s="306"/>
      <c r="M78" s="129">
        <v>0</v>
      </c>
      <c r="N78" s="307"/>
    </row>
    <row r="79" spans="2:18" ht="20.100000000000001" customHeight="1" thickBot="1">
      <c r="D79" s="180"/>
      <c r="E79" s="181"/>
      <c r="F79" s="181"/>
      <c r="G79" s="181"/>
      <c r="H79" s="181"/>
      <c r="I79" s="240"/>
      <c r="J79" s="537" t="s">
        <v>149</v>
      </c>
      <c r="K79" s="538"/>
      <c r="L79" s="538"/>
      <c r="M79" s="538"/>
      <c r="N79" s="308">
        <f>+$N64+$N70+$N76+N78</f>
        <v>30.630000000000003</v>
      </c>
    </row>
    <row r="80" spans="2:18" ht="20.100000000000001" customHeight="1" thickBot="1">
      <c r="D80" s="182"/>
      <c r="E80" s="183"/>
      <c r="F80" s="183"/>
      <c r="G80" s="183"/>
      <c r="H80" s="183"/>
      <c r="I80" s="241"/>
      <c r="J80" s="184" t="s">
        <v>158</v>
      </c>
      <c r="K80" s="185"/>
      <c r="L80" s="309"/>
      <c r="M80" s="186">
        <v>0</v>
      </c>
      <c r="N80" s="310">
        <f>(M80*N79)+N79</f>
        <v>30.630000000000003</v>
      </c>
      <c r="O80" s="210"/>
      <c r="P80" s="16">
        <v>48.42</v>
      </c>
      <c r="R80" s="90">
        <f>(N80/P80)-1</f>
        <v>-0.36741016109045843</v>
      </c>
    </row>
    <row r="84" spans="2:21" ht="20.100000000000001" customHeight="1" thickBot="1"/>
    <row r="85" spans="2:21" ht="20.100000000000001" customHeight="1">
      <c r="D85" s="598" t="s">
        <v>306</v>
      </c>
      <c r="E85" s="599"/>
      <c r="F85" s="542" t="s">
        <v>74</v>
      </c>
      <c r="G85" s="543"/>
      <c r="H85" s="543"/>
      <c r="I85" s="543"/>
      <c r="J85" s="543"/>
      <c r="K85" s="543"/>
      <c r="L85" s="544"/>
      <c r="M85" s="19" t="s">
        <v>75</v>
      </c>
      <c r="N85" s="20" t="s">
        <v>76</v>
      </c>
      <c r="U85" s="132">
        <f>N143</f>
        <v>49.696289999999998</v>
      </c>
    </row>
    <row r="86" spans="2:21" ht="37.5" customHeight="1">
      <c r="D86" s="600"/>
      <c r="E86" s="601"/>
      <c r="F86" s="512" t="s">
        <v>388</v>
      </c>
      <c r="G86" s="519"/>
      <c r="H86" s="519"/>
      <c r="I86" s="519"/>
      <c r="J86" s="519"/>
      <c r="K86" s="519"/>
      <c r="L86" s="513"/>
      <c r="M86" s="24" t="s">
        <v>228</v>
      </c>
      <c r="N86" s="25">
        <f>DATA</f>
        <v>41214</v>
      </c>
    </row>
    <row r="87" spans="2:21" ht="20.100000000000001" customHeight="1">
      <c r="D87" s="561" t="s">
        <v>77</v>
      </c>
      <c r="E87" s="562"/>
      <c r="F87" s="562"/>
      <c r="G87" s="562"/>
      <c r="H87" s="536"/>
      <c r="I87" s="51" t="s">
        <v>78</v>
      </c>
      <c r="J87" s="535" t="s">
        <v>79</v>
      </c>
      <c r="K87" s="536"/>
      <c r="L87" s="535" t="s">
        <v>80</v>
      </c>
      <c r="M87" s="536"/>
      <c r="N87" s="516" t="s">
        <v>81</v>
      </c>
    </row>
    <row r="88" spans="2:21" ht="20.100000000000001" customHeight="1">
      <c r="D88" s="31"/>
      <c r="E88" s="32"/>
      <c r="F88" s="32"/>
      <c r="G88" s="32"/>
      <c r="H88" s="33"/>
      <c r="I88" s="34"/>
      <c r="J88" s="34" t="s">
        <v>82</v>
      </c>
      <c r="K88" s="34" t="s">
        <v>83</v>
      </c>
      <c r="L88" s="34" t="s">
        <v>82</v>
      </c>
      <c r="M88" s="34" t="s">
        <v>84</v>
      </c>
      <c r="N88" s="517"/>
    </row>
    <row r="89" spans="2:21" ht="20.100000000000001" customHeight="1">
      <c r="B89" s="260" t="s">
        <v>286</v>
      </c>
      <c r="D89" s="35" t="str">
        <f t="shared" ref="D89:D94" si="8">IF(B89=0,0,VLOOKUP(B89,EQUIP,3,FALSE))</f>
        <v>CARREGADEIRA DE PNEUS - 3,1 m³ (127KW)</v>
      </c>
      <c r="E89" s="91"/>
      <c r="F89" s="91"/>
      <c r="G89" s="91"/>
      <c r="H89" s="92"/>
      <c r="I89" s="215">
        <v>1</v>
      </c>
      <c r="J89" s="38">
        <v>0.26</v>
      </c>
      <c r="K89" s="38">
        <f t="shared" ref="K89:K94" si="9">1-J89</f>
        <v>0.74</v>
      </c>
      <c r="L89" s="215">
        <f t="shared" ref="L89:L94" si="10">IF(B89=0,0,VLOOKUP(B89,EQUIP,6,FALSE))</f>
        <v>185.29</v>
      </c>
      <c r="M89" s="38">
        <f t="shared" ref="M89:M94" si="11">IF(B89=0,0,VLOOKUP(B89,EQUIP,7,FALSE))</f>
        <v>22.39</v>
      </c>
      <c r="N89" s="269">
        <f t="shared" ref="N89:N94" si="12">ROUND(I89*J89*L89+I89*K89*M89,2)</f>
        <v>64.739999999999995</v>
      </c>
    </row>
    <row r="90" spans="2:21" ht="20.100000000000001" customHeight="1">
      <c r="B90" s="260" t="s">
        <v>290</v>
      </c>
      <c r="D90" s="35" t="str">
        <f t="shared" si="8"/>
        <v>TANQUE DE ESTOCAGEM DE ASFALTO - 20.000l</v>
      </c>
      <c r="E90" s="91"/>
      <c r="F90" s="91"/>
      <c r="G90" s="91"/>
      <c r="H90" s="92"/>
      <c r="I90" s="224">
        <v>3</v>
      </c>
      <c r="J90" s="38">
        <v>1</v>
      </c>
      <c r="K90" s="38">
        <f t="shared" si="9"/>
        <v>0</v>
      </c>
      <c r="L90" s="215">
        <f t="shared" si="10"/>
        <v>5.1100000000000003</v>
      </c>
      <c r="M90" s="38">
        <f t="shared" si="11"/>
        <v>0</v>
      </c>
      <c r="N90" s="269">
        <f t="shared" si="12"/>
        <v>15.33</v>
      </c>
    </row>
    <row r="91" spans="2:21" ht="20.100000000000001" customHeight="1">
      <c r="B91" s="260" t="s">
        <v>257</v>
      </c>
      <c r="D91" s="35" t="str">
        <f t="shared" si="8"/>
        <v>AQUECEDOR DE FLUIDO TÉRMICO - (8kW)</v>
      </c>
      <c r="E91" s="91"/>
      <c r="F91" s="91"/>
      <c r="G91" s="91"/>
      <c r="H91" s="92"/>
      <c r="I91" s="224">
        <v>1</v>
      </c>
      <c r="J91" s="38">
        <v>1</v>
      </c>
      <c r="K91" s="38">
        <f t="shared" si="9"/>
        <v>0</v>
      </c>
      <c r="L91" s="215">
        <f t="shared" si="10"/>
        <v>26.331</v>
      </c>
      <c r="M91" s="38">
        <f t="shared" si="11"/>
        <v>0</v>
      </c>
      <c r="N91" s="269">
        <f t="shared" si="12"/>
        <v>26.33</v>
      </c>
    </row>
    <row r="92" spans="2:21" ht="20.100000000000001" customHeight="1">
      <c r="B92" s="260" t="s">
        <v>390</v>
      </c>
      <c r="D92" s="35" t="str">
        <f t="shared" si="8"/>
        <v>USINA DE ASFALTO A QUENTE - 90/120 T/H COM FILTRO DE MANGA (188 KW)</v>
      </c>
      <c r="E92" s="36"/>
      <c r="F92" s="36"/>
      <c r="G92" s="36"/>
      <c r="H92" s="37"/>
      <c r="I92" s="215">
        <v>1</v>
      </c>
      <c r="J92" s="38">
        <v>1</v>
      </c>
      <c r="K92" s="38">
        <f t="shared" si="9"/>
        <v>0</v>
      </c>
      <c r="L92" s="215">
        <f t="shared" si="10"/>
        <v>1314.04</v>
      </c>
      <c r="M92" s="38">
        <f t="shared" si="11"/>
        <v>413.23990138496117</v>
      </c>
      <c r="N92" s="269">
        <f t="shared" si="12"/>
        <v>1314.04</v>
      </c>
    </row>
    <row r="93" spans="2:21" ht="20.100000000000001" customHeight="1">
      <c r="B93" s="260" t="s">
        <v>392</v>
      </c>
      <c r="D93" s="35" t="str">
        <f t="shared" si="8"/>
        <v>GRUPO GERADOR - 36/40 KVA (32kw)</v>
      </c>
      <c r="E93" s="36"/>
      <c r="F93" s="36"/>
      <c r="G93" s="36"/>
      <c r="H93" s="37"/>
      <c r="I93" s="215">
        <v>1</v>
      </c>
      <c r="J93" s="38">
        <v>1</v>
      </c>
      <c r="K93" s="38">
        <f t="shared" si="9"/>
        <v>0</v>
      </c>
      <c r="L93" s="215">
        <f t="shared" si="10"/>
        <v>34.17</v>
      </c>
      <c r="M93" s="38">
        <f t="shared" si="11"/>
        <v>17.27</v>
      </c>
      <c r="N93" s="269">
        <f t="shared" si="12"/>
        <v>34.17</v>
      </c>
    </row>
    <row r="94" spans="2:21" ht="20.100000000000001" customHeight="1">
      <c r="B94" s="260" t="s">
        <v>393</v>
      </c>
      <c r="D94" s="35" t="str">
        <f t="shared" si="8"/>
        <v>GRUPO GERADOR - 164/180 KVA (144kw)</v>
      </c>
      <c r="E94" s="36"/>
      <c r="F94" s="36"/>
      <c r="G94" s="36"/>
      <c r="H94" s="37"/>
      <c r="I94" s="224">
        <v>1.7</v>
      </c>
      <c r="J94" s="38">
        <v>1</v>
      </c>
      <c r="K94" s="38">
        <f t="shared" si="9"/>
        <v>0</v>
      </c>
      <c r="L94" s="215">
        <f t="shared" si="10"/>
        <v>87.45</v>
      </c>
      <c r="M94" s="38">
        <f t="shared" si="11"/>
        <v>17.27</v>
      </c>
      <c r="N94" s="269">
        <f t="shared" si="12"/>
        <v>148.66999999999999</v>
      </c>
    </row>
    <row r="95" spans="2:21" ht="20.100000000000001" customHeight="1">
      <c r="D95" s="40"/>
      <c r="E95" s="41"/>
      <c r="F95" s="41"/>
      <c r="G95" s="41"/>
      <c r="H95" s="41"/>
      <c r="I95" s="216"/>
      <c r="J95" s="41"/>
      <c r="K95" s="41"/>
      <c r="L95" s="216"/>
      <c r="M95" s="42" t="s">
        <v>89</v>
      </c>
      <c r="N95" s="270">
        <f>SUM(N89:N94)</f>
        <v>1603.2800000000002</v>
      </c>
    </row>
    <row r="96" spans="2:21" ht="3.95" customHeight="1">
      <c r="D96" s="43"/>
      <c r="E96" s="44"/>
      <c r="F96" s="44"/>
      <c r="G96" s="45"/>
      <c r="H96" s="44"/>
      <c r="I96" s="217"/>
      <c r="J96" s="46"/>
      <c r="K96" s="47"/>
      <c r="L96" s="48"/>
      <c r="M96" s="48"/>
      <c r="N96" s="271"/>
    </row>
    <row r="97" spans="2:14" ht="20.100000000000001" customHeight="1">
      <c r="D97" s="518" t="s">
        <v>90</v>
      </c>
      <c r="E97" s="519"/>
      <c r="F97" s="519"/>
      <c r="G97" s="519"/>
      <c r="H97" s="519"/>
      <c r="I97" s="519"/>
      <c r="J97" s="513"/>
      <c r="K97" s="50" t="s">
        <v>91</v>
      </c>
      <c r="L97" s="51" t="s">
        <v>92</v>
      </c>
      <c r="M97" s="51" t="s">
        <v>93</v>
      </c>
      <c r="N97" s="272" t="s">
        <v>94</v>
      </c>
    </row>
    <row r="98" spans="2:14" ht="20.100000000000001" customHeight="1">
      <c r="B98" s="260" t="s">
        <v>247</v>
      </c>
      <c r="D98" s="52" t="str">
        <f>IF(B98=0,0,VLOOKUP(B98,MO,2,FALSE))</f>
        <v>ENCARREGADO DE TURMA</v>
      </c>
      <c r="E98" s="53"/>
      <c r="F98" s="53"/>
      <c r="G98" s="53"/>
      <c r="H98" s="53"/>
      <c r="I98" s="36"/>
      <c r="J98" s="54"/>
      <c r="K98" s="39"/>
      <c r="L98" s="55">
        <v>1</v>
      </c>
      <c r="M98" s="55">
        <f>IF(B98=0,0,VLOOKUP(B98,MO,6,FALSE))</f>
        <v>27</v>
      </c>
      <c r="N98" s="273">
        <f>ROUND(L98*M98,2)</f>
        <v>27</v>
      </c>
    </row>
    <row r="99" spans="2:14" ht="20.100000000000001" customHeight="1">
      <c r="B99" s="260" t="s">
        <v>248</v>
      </c>
      <c r="D99" s="52" t="str">
        <f>IF(B99=0,0,VLOOKUP(B99,MO,2,FALSE))</f>
        <v>SERVENTE</v>
      </c>
      <c r="E99" s="53"/>
      <c r="F99" s="53"/>
      <c r="G99" s="53"/>
      <c r="H99" s="53"/>
      <c r="I99" s="36"/>
      <c r="J99" s="54"/>
      <c r="K99" s="39"/>
      <c r="L99" s="55">
        <v>8</v>
      </c>
      <c r="M99" s="55">
        <f>IF(B99=0,0,VLOOKUP(B99,MO,6,FALSE))</f>
        <v>7.9973000000000001</v>
      </c>
      <c r="N99" s="273">
        <f>ROUND(L99*M99,2)</f>
        <v>63.98</v>
      </c>
    </row>
    <row r="100" spans="2:14" ht="20.100000000000001" customHeight="1">
      <c r="B100" s="260"/>
      <c r="D100" s="52" t="s">
        <v>122</v>
      </c>
      <c r="E100" s="53"/>
      <c r="F100" s="53"/>
      <c r="G100" s="53"/>
      <c r="H100" s="53"/>
      <c r="I100" s="36"/>
      <c r="J100" s="54"/>
      <c r="K100" s="56">
        <v>0</v>
      </c>
      <c r="L100" s="57">
        <f>N98+N99</f>
        <v>90.97999999999999</v>
      </c>
      <c r="M100" s="55"/>
      <c r="N100" s="445">
        <f>ROUND(L100*K100,2)</f>
        <v>0</v>
      </c>
    </row>
    <row r="101" spans="2:14" ht="20.100000000000001" customHeight="1">
      <c r="D101" s="58"/>
      <c r="E101" s="59"/>
      <c r="F101" s="60"/>
      <c r="G101" s="60"/>
      <c r="H101" s="44"/>
      <c r="I101" s="217"/>
      <c r="J101" s="61"/>
      <c r="K101" s="47"/>
      <c r="L101" s="48"/>
      <c r="M101" s="62" t="s">
        <v>98</v>
      </c>
      <c r="N101" s="270">
        <f>SUM(N98:N100)</f>
        <v>90.97999999999999</v>
      </c>
    </row>
    <row r="102" spans="2:14" ht="3.95" customHeight="1">
      <c r="D102" s="43"/>
      <c r="E102" s="44"/>
      <c r="F102" s="44"/>
      <c r="G102" s="44"/>
      <c r="H102" s="44"/>
      <c r="I102" s="217"/>
      <c r="J102" s="61"/>
      <c r="K102" s="47"/>
      <c r="L102" s="48"/>
      <c r="M102" s="48"/>
      <c r="N102" s="271"/>
    </row>
    <row r="103" spans="2:14" ht="20.100000000000001" customHeight="1">
      <c r="D103" s="40"/>
      <c r="E103" s="60"/>
      <c r="F103" s="60"/>
      <c r="G103" s="60"/>
      <c r="H103" s="63"/>
      <c r="I103" s="218"/>
      <c r="J103" s="63"/>
      <c r="K103" s="509" t="s">
        <v>99</v>
      </c>
      <c r="L103" s="510"/>
      <c r="M103" s="511"/>
      <c r="N103" s="275">
        <f>+N95+N101</f>
        <v>1694.2600000000002</v>
      </c>
    </row>
    <row r="104" spans="2:14" ht="3.95" customHeight="1">
      <c r="D104" s="64"/>
      <c r="E104" s="44"/>
      <c r="F104" s="44"/>
      <c r="G104" s="45"/>
      <c r="H104" s="44"/>
      <c r="I104" s="217"/>
      <c r="J104" s="46"/>
      <c r="K104" s="47"/>
      <c r="L104" s="48"/>
      <c r="M104" s="48"/>
      <c r="N104" s="271"/>
    </row>
    <row r="105" spans="2:14" ht="20.100000000000001" customHeight="1">
      <c r="D105" s="58"/>
      <c r="E105" s="509" t="s">
        <v>100</v>
      </c>
      <c r="F105" s="510"/>
      <c r="G105" s="510"/>
      <c r="H105" s="511"/>
      <c r="I105" s="219">
        <v>70</v>
      </c>
      <c r="J105" s="48"/>
      <c r="K105" s="506" t="s">
        <v>101</v>
      </c>
      <c r="L105" s="507"/>
      <c r="M105" s="507"/>
      <c r="N105" s="276">
        <f>ROUND(N103/I105,2)</f>
        <v>24.2</v>
      </c>
    </row>
    <row r="106" spans="2:14" ht="3.95" customHeight="1">
      <c r="D106" s="43"/>
      <c r="E106" s="44"/>
      <c r="F106" s="44"/>
      <c r="G106" s="65"/>
      <c r="H106" s="44"/>
      <c r="I106" s="48"/>
      <c r="J106" s="46"/>
      <c r="K106" s="46"/>
      <c r="L106" s="48"/>
      <c r="M106" s="46"/>
      <c r="N106" s="277"/>
    </row>
    <row r="107" spans="2:14" ht="20.100000000000001" customHeight="1">
      <c r="D107" s="49" t="s">
        <v>102</v>
      </c>
      <c r="E107" s="22"/>
      <c r="F107" s="22"/>
      <c r="G107" s="22"/>
      <c r="H107" s="22"/>
      <c r="I107" s="141"/>
      <c r="J107" s="23"/>
      <c r="K107" s="50" t="s">
        <v>103</v>
      </c>
      <c r="L107" s="51" t="s">
        <v>80</v>
      </c>
      <c r="M107" s="51" t="s">
        <v>104</v>
      </c>
      <c r="N107" s="272" t="s">
        <v>105</v>
      </c>
    </row>
    <row r="108" spans="2:14" ht="20.100000000000001" customHeight="1">
      <c r="B108" s="260" t="s">
        <v>396</v>
      </c>
      <c r="D108" s="52" t="str">
        <f>IF(B108=0,0,VLOOKUP(B108,MAT,3,FALSE))</f>
        <v>ÓLEO COMBUSTÍVEL 1A</v>
      </c>
      <c r="E108" s="53"/>
      <c r="F108" s="53"/>
      <c r="G108" s="53"/>
      <c r="H108" s="53"/>
      <c r="I108" s="36"/>
      <c r="J108" s="54"/>
      <c r="K108" s="66" t="str">
        <f>IF(B108=0,0,VLOOKUP(B108,MAT,5,FALSE))</f>
        <v>L</v>
      </c>
      <c r="L108" s="67">
        <f>IF(B108=0,0,VLOOKUP(B108,MAT,6,FALSE))</f>
        <v>1.65</v>
      </c>
      <c r="M108" s="68">
        <v>9.6430000000000007</v>
      </c>
      <c r="N108" s="273">
        <f>ROUND(L108*M108,2)</f>
        <v>15.91</v>
      </c>
    </row>
    <row r="109" spans="2:14" ht="20.100000000000001" customHeight="1">
      <c r="B109" s="260"/>
      <c r="D109" s="264">
        <f>IF(B109=0,0,VLOOKUP(B109,MAT,3,FALSE))</f>
        <v>0</v>
      </c>
      <c r="E109" s="53"/>
      <c r="F109" s="53"/>
      <c r="G109" s="53"/>
      <c r="H109" s="53"/>
      <c r="I109" s="36"/>
      <c r="J109" s="54"/>
      <c r="K109" s="262">
        <f>IF(B109=0,0,VLOOKUP(B109,MAT,5,FALSE))</f>
        <v>0</v>
      </c>
      <c r="L109" s="267">
        <f>IF(B109=0,0,VLOOKUP(B109,MAT,6,FALSE))</f>
        <v>0</v>
      </c>
      <c r="M109" s="68"/>
      <c r="N109" s="317">
        <f>(L109*M109)</f>
        <v>0</v>
      </c>
    </row>
    <row r="110" spans="2:14" ht="20.100000000000001" customHeight="1">
      <c r="B110" s="260"/>
      <c r="D110" s="264">
        <f>IF(B110=0,0,VLOOKUP(B110,MAT,3,FALSE))</f>
        <v>0</v>
      </c>
      <c r="E110" s="53"/>
      <c r="F110" s="53"/>
      <c r="G110" s="53"/>
      <c r="H110" s="53"/>
      <c r="I110" s="36"/>
      <c r="J110" s="54"/>
      <c r="K110" s="262">
        <f>IF(B110=0,0,VLOOKUP(B110,MAT,5,FALSE))</f>
        <v>0</v>
      </c>
      <c r="L110" s="267">
        <f>IF(B110=0,0,VLOOKUP(B110,MAT,6,FALSE))</f>
        <v>0</v>
      </c>
      <c r="M110" s="68"/>
      <c r="N110" s="317">
        <f>(L110*M110)</f>
        <v>0</v>
      </c>
    </row>
    <row r="111" spans="2:14" ht="20.100000000000001" customHeight="1">
      <c r="B111" s="260"/>
      <c r="D111" s="264">
        <f>IF(B111=0,0,VLOOKUP(B111,MAT,3,FALSE))</f>
        <v>0</v>
      </c>
      <c r="E111" s="53"/>
      <c r="F111" s="53"/>
      <c r="G111" s="53"/>
      <c r="H111" s="53"/>
      <c r="I111" s="36"/>
      <c r="J111" s="54"/>
      <c r="K111" s="262">
        <f>IF(B111=0,0,VLOOKUP(B111,MAT,5,FALSE))</f>
        <v>0</v>
      </c>
      <c r="L111" s="267">
        <f>IF(B111=0,0,VLOOKUP(B111,MAT,6,FALSE))</f>
        <v>0</v>
      </c>
      <c r="M111" s="68"/>
      <c r="N111" s="317">
        <f>(L111*M111)</f>
        <v>0</v>
      </c>
    </row>
    <row r="112" spans="2:14" ht="20.100000000000001" customHeight="1">
      <c r="B112" s="260"/>
      <c r="D112" s="52"/>
      <c r="E112" s="53"/>
      <c r="F112" s="53"/>
      <c r="G112" s="53"/>
      <c r="H112" s="53"/>
      <c r="I112" s="36"/>
      <c r="J112" s="54"/>
      <c r="K112" s="66"/>
      <c r="L112" s="67"/>
      <c r="M112" s="75"/>
      <c r="N112" s="273"/>
    </row>
    <row r="113" spans="2:16" ht="20.100000000000001" customHeight="1">
      <c r="D113" s="43"/>
      <c r="E113" s="44"/>
      <c r="F113" s="44"/>
      <c r="G113" s="65"/>
      <c r="H113" s="44"/>
      <c r="I113" s="48"/>
      <c r="J113" s="46"/>
      <c r="K113" s="46"/>
      <c r="L113" s="48"/>
      <c r="M113" s="71" t="s">
        <v>106</v>
      </c>
      <c r="N113" s="270">
        <f>SUM(N108:N111)</f>
        <v>15.91</v>
      </c>
    </row>
    <row r="114" spans="2:16" ht="3.95" customHeight="1">
      <c r="D114" s="43"/>
      <c r="E114" s="44"/>
      <c r="F114" s="44"/>
      <c r="G114" s="65"/>
      <c r="H114" s="44"/>
      <c r="I114" s="48"/>
      <c r="J114" s="46"/>
      <c r="K114" s="46"/>
      <c r="L114" s="48"/>
      <c r="M114" s="46"/>
      <c r="N114" s="277"/>
    </row>
    <row r="115" spans="2:16" ht="20.100000000000001" customHeight="1">
      <c r="D115" s="527" t="s">
        <v>107</v>
      </c>
      <c r="E115" s="72" t="s">
        <v>2</v>
      </c>
      <c r="F115" s="73"/>
      <c r="G115" s="73"/>
      <c r="H115" s="74"/>
      <c r="I115" s="498" t="s">
        <v>108</v>
      </c>
      <c r="J115" s="499"/>
      <c r="K115" s="531" t="s">
        <v>103</v>
      </c>
      <c r="L115" s="514" t="s">
        <v>80</v>
      </c>
      <c r="M115" s="531" t="s">
        <v>109</v>
      </c>
      <c r="N115" s="529" t="s">
        <v>105</v>
      </c>
    </row>
    <row r="116" spans="2:16" ht="20.100000000000001" customHeight="1">
      <c r="D116" s="528"/>
      <c r="E116" s="512" t="s">
        <v>127</v>
      </c>
      <c r="F116" s="513"/>
      <c r="G116" s="512" t="s">
        <v>111</v>
      </c>
      <c r="H116" s="513"/>
      <c r="I116" s="500"/>
      <c r="J116" s="501"/>
      <c r="K116" s="532"/>
      <c r="L116" s="515"/>
      <c r="M116" s="532"/>
      <c r="N116" s="530"/>
    </row>
    <row r="117" spans="2:16" ht="20.100000000000001" customHeight="1">
      <c r="B117" s="260"/>
      <c r="D117" s="261">
        <f>IF(B117=0,0,VLOOKUP(B117,TRANS,3,FALSE))</f>
        <v>0</v>
      </c>
      <c r="E117" s="581">
        <f>IF(B117=0,0,VLOOKUP(B117,TRANS,5,FALSE))</f>
        <v>0</v>
      </c>
      <c r="F117" s="582"/>
      <c r="G117" s="545"/>
      <c r="H117" s="546"/>
      <c r="I117" s="596"/>
      <c r="J117" s="597"/>
      <c r="K117" s="263">
        <f>IF(B117=0,0,VLOOKUP(B117,TRANS,4,FALSE))</f>
        <v>0</v>
      </c>
      <c r="L117" s="267">
        <f>E117*I117</f>
        <v>0</v>
      </c>
      <c r="M117" s="70"/>
      <c r="N117" s="317">
        <f>ROUND(L117*M117,2)</f>
        <v>0</v>
      </c>
    </row>
    <row r="118" spans="2:16" ht="20.100000000000001" customHeight="1">
      <c r="B118" s="260"/>
      <c r="D118" s="261">
        <f>IF(B118=0,0,VLOOKUP(B118,TRANS,3,FALSE))</f>
        <v>0</v>
      </c>
      <c r="E118" s="581">
        <f>IF(B118=0,0,VLOOKUP(B118,TRANS,5,FALSE))</f>
        <v>0</v>
      </c>
      <c r="F118" s="582"/>
      <c r="G118" s="545"/>
      <c r="H118" s="546"/>
      <c r="I118" s="596"/>
      <c r="J118" s="597"/>
      <c r="K118" s="263">
        <f>IF(B118=0,0,VLOOKUP(B118,TRANS,4,FALSE))</f>
        <v>0</v>
      </c>
      <c r="L118" s="267">
        <f>(E118*I118)+H118</f>
        <v>0</v>
      </c>
      <c r="M118" s="70"/>
      <c r="N118" s="317">
        <f>(L118*M118)</f>
        <v>0</v>
      </c>
    </row>
    <row r="119" spans="2:16" ht="20.100000000000001" customHeight="1">
      <c r="B119" s="260"/>
      <c r="D119" s="261">
        <f>IF(B119=0,0,VLOOKUP(B119,TRANS,3,FALSE))</f>
        <v>0</v>
      </c>
      <c r="E119" s="581">
        <f>IF(B119=0,0,VLOOKUP(B119,TRANS,5,FALSE))</f>
        <v>0</v>
      </c>
      <c r="F119" s="582"/>
      <c r="G119" s="545"/>
      <c r="H119" s="546"/>
      <c r="I119" s="596"/>
      <c r="J119" s="597"/>
      <c r="K119" s="263">
        <f>IF(B119=0,0,VLOOKUP(B119,TRANS,4,FALSE))</f>
        <v>0</v>
      </c>
      <c r="L119" s="267">
        <f>(E119*I119)+H119</f>
        <v>0</v>
      </c>
      <c r="M119" s="70"/>
      <c r="N119" s="317">
        <f>(L119*M119)</f>
        <v>0</v>
      </c>
    </row>
    <row r="120" spans="2:16" ht="20.100000000000001" customHeight="1">
      <c r="B120" s="260"/>
      <c r="D120" s="261">
        <f>IF(B120=0,0,VLOOKUP(B120,TRANS,3,FALSE))</f>
        <v>0</v>
      </c>
      <c r="E120" s="581">
        <f>IF(B120=0,0,VLOOKUP(B120,TRANS,5,FALSE))</f>
        <v>0</v>
      </c>
      <c r="F120" s="582"/>
      <c r="G120" s="545"/>
      <c r="H120" s="546"/>
      <c r="I120" s="596"/>
      <c r="J120" s="597"/>
      <c r="K120" s="263">
        <f>IF(B120=0,0,VLOOKUP(B120,TRANS,4,FALSE))</f>
        <v>0</v>
      </c>
      <c r="L120" s="267">
        <f>(E120*I120)+H120</f>
        <v>0</v>
      </c>
      <c r="M120" s="70"/>
      <c r="N120" s="317">
        <f>L120*M120</f>
        <v>0</v>
      </c>
    </row>
    <row r="121" spans="2:16" ht="20.100000000000001" customHeight="1">
      <c r="D121" s="98"/>
      <c r="E121" s="99"/>
      <c r="F121" s="44"/>
      <c r="G121" s="65"/>
      <c r="H121" s="44"/>
      <c r="I121" s="48"/>
      <c r="J121" s="46"/>
      <c r="K121" s="46"/>
      <c r="L121" s="48"/>
      <c r="M121" s="71" t="s">
        <v>112</v>
      </c>
      <c r="N121" s="441">
        <f>SUM(N117:N120)</f>
        <v>0</v>
      </c>
      <c r="P121" s="96"/>
    </row>
    <row r="122" spans="2:16" ht="3.95" customHeight="1">
      <c r="D122" s="98"/>
      <c r="E122" s="99"/>
      <c r="F122" s="44"/>
      <c r="G122" s="65"/>
      <c r="H122" s="44"/>
      <c r="I122" s="48"/>
      <c r="J122" s="46"/>
      <c r="K122" s="46"/>
      <c r="L122" s="48"/>
      <c r="M122" s="100"/>
      <c r="N122" s="282"/>
      <c r="P122" s="96"/>
    </row>
    <row r="123" spans="2:16" ht="20.100000000000001" customHeight="1">
      <c r="D123" s="98"/>
      <c r="E123" s="99"/>
      <c r="F123" s="44"/>
      <c r="G123" s="65"/>
      <c r="H123" s="44"/>
      <c r="I123" s="48"/>
      <c r="J123" s="46"/>
      <c r="K123" s="565" t="s">
        <v>129</v>
      </c>
      <c r="L123" s="566"/>
      <c r="M123" s="567"/>
      <c r="N123" s="279">
        <f>+N105+N113+N121</f>
        <v>40.11</v>
      </c>
      <c r="P123" s="101"/>
    </row>
    <row r="124" spans="2:16" ht="20.100000000000001" customHeight="1">
      <c r="D124" s="98"/>
      <c r="E124" s="99"/>
      <c r="F124" s="44"/>
      <c r="G124" s="65"/>
      <c r="H124" s="44"/>
      <c r="I124" s="48"/>
      <c r="J124" s="46"/>
      <c r="K124" s="81" t="s">
        <v>115</v>
      </c>
      <c r="L124" s="283">
        <v>0.16699999999999998</v>
      </c>
      <c r="M124" s="83"/>
      <c r="N124" s="279"/>
    </row>
    <row r="125" spans="2:16" ht="20.100000000000001" customHeight="1" thickBot="1">
      <c r="D125" s="102"/>
      <c r="E125" s="103"/>
      <c r="F125" s="104"/>
      <c r="G125" s="105"/>
      <c r="H125" s="104"/>
      <c r="I125" s="225"/>
      <c r="J125" s="85"/>
      <c r="K125" s="86" t="s">
        <v>130</v>
      </c>
      <c r="L125" s="280"/>
      <c r="M125" s="89"/>
      <c r="N125" s="281">
        <f>N123+N124</f>
        <v>40.11</v>
      </c>
    </row>
    <row r="126" spans="2:16" ht="3.95" customHeight="1">
      <c r="D126" s="106"/>
      <c r="E126" s="107"/>
      <c r="F126" s="108"/>
      <c r="G126" s="109"/>
      <c r="H126" s="108"/>
      <c r="I126" s="226"/>
      <c r="J126" s="110"/>
      <c r="K126" s="111"/>
      <c r="L126" s="284"/>
      <c r="M126" s="111"/>
      <c r="N126" s="285"/>
    </row>
    <row r="127" spans="2:16" ht="3.95" customHeight="1" thickBot="1">
      <c r="D127" s="102"/>
      <c r="E127" s="103"/>
      <c r="F127" s="104"/>
      <c r="G127" s="105"/>
      <c r="H127" s="104"/>
      <c r="I127" s="225"/>
      <c r="J127" s="85"/>
      <c r="K127" s="112"/>
      <c r="L127" s="286"/>
      <c r="M127" s="112"/>
      <c r="N127" s="287"/>
    </row>
    <row r="128" spans="2:16" ht="20.100000000000001" customHeight="1">
      <c r="D128" s="571" t="s">
        <v>131</v>
      </c>
      <c r="E128" s="572"/>
      <c r="F128" s="572"/>
      <c r="G128" s="572"/>
      <c r="H128" s="572"/>
      <c r="I128" s="572"/>
      <c r="J128" s="573"/>
      <c r="K128" s="113" t="s">
        <v>103</v>
      </c>
      <c r="L128" s="34" t="s">
        <v>80</v>
      </c>
      <c r="M128" s="34" t="s">
        <v>104</v>
      </c>
      <c r="N128" s="288" t="s">
        <v>105</v>
      </c>
    </row>
    <row r="129" spans="2:18" ht="20.100000000000001" customHeight="1">
      <c r="B129" s="260"/>
      <c r="D129" s="264">
        <f>IF(B129=0,0,VLOOKUP(B129,MAT_BET,3,FALSE))</f>
        <v>0</v>
      </c>
      <c r="E129" s="265"/>
      <c r="F129" s="265"/>
      <c r="G129" s="265"/>
      <c r="H129" s="265"/>
      <c r="I129" s="265"/>
      <c r="J129" s="266"/>
      <c r="K129" s="262">
        <f>IF(B129=0,0,VLOOKUP(B129,MAT_BET,4,FALSE))</f>
        <v>0</v>
      </c>
      <c r="L129" s="262">
        <f>IF(B129=0,0,VLOOKUP(B129,MAT_BET,5,FALSE))</f>
        <v>0</v>
      </c>
      <c r="M129" s="68"/>
      <c r="N129" s="445">
        <f>ROUND(L129*M129,2)</f>
        <v>0</v>
      </c>
    </row>
    <row r="130" spans="2:18" ht="20.100000000000001" customHeight="1">
      <c r="D130" s="114"/>
      <c r="E130" s="59"/>
      <c r="F130" s="59"/>
      <c r="G130" s="59"/>
      <c r="H130" s="59"/>
      <c r="I130" s="91"/>
      <c r="J130" s="115"/>
      <c r="K130" s="81" t="s">
        <v>115</v>
      </c>
      <c r="L130" s="283">
        <v>0.23899999999999999</v>
      </c>
      <c r="M130" s="83"/>
      <c r="N130" s="444">
        <f>L130*N129</f>
        <v>0</v>
      </c>
    </row>
    <row r="131" spans="2:18" ht="20.100000000000001" customHeight="1">
      <c r="D131" s="76"/>
      <c r="E131" s="77"/>
      <c r="F131" s="77"/>
      <c r="G131" s="77"/>
      <c r="H131" s="77"/>
      <c r="I131" s="156"/>
      <c r="J131" s="116"/>
      <c r="K131" s="81" t="s">
        <v>132</v>
      </c>
      <c r="L131" s="289"/>
      <c r="M131" s="83"/>
      <c r="N131" s="444">
        <f>N129+N130</f>
        <v>0</v>
      </c>
    </row>
    <row r="132" spans="2:18" ht="20.100000000000001" customHeight="1">
      <c r="D132" s="117"/>
      <c r="E132" s="118"/>
      <c r="F132" s="118"/>
      <c r="G132" s="118"/>
      <c r="H132" s="118"/>
      <c r="I132" s="94"/>
      <c r="J132" s="119"/>
      <c r="K132" s="113" t="s">
        <v>103</v>
      </c>
      <c r="L132" s="34" t="s">
        <v>80</v>
      </c>
      <c r="M132" s="34" t="s">
        <v>104</v>
      </c>
      <c r="N132" s="288" t="s">
        <v>105</v>
      </c>
    </row>
    <row r="133" spans="2:18" ht="20.100000000000001" customHeight="1">
      <c r="B133" s="260"/>
      <c r="D133" s="264">
        <f>IF(B133=0,0,VLOOKUP(B133,MAT_BET,3,FALSE))</f>
        <v>0</v>
      </c>
      <c r="E133" s="265"/>
      <c r="F133" s="265"/>
      <c r="G133" s="265"/>
      <c r="H133" s="265"/>
      <c r="I133" s="265"/>
      <c r="J133" s="266"/>
      <c r="K133" s="262">
        <f>IF(B133=0,0,VLOOKUP(B133,MAT_BET,4,FALSE))</f>
        <v>0</v>
      </c>
      <c r="L133" s="67">
        <f>IF(B133=0,0,VLOOKUP(B133,MAT_BET,5,FALSE))</f>
        <v>0</v>
      </c>
      <c r="M133" s="68"/>
      <c r="N133" s="317">
        <f>(L133*M133)</f>
        <v>0</v>
      </c>
    </row>
    <row r="134" spans="2:18" ht="20.100000000000001" customHeight="1">
      <c r="D134" s="114"/>
      <c r="E134" s="59"/>
      <c r="F134" s="59"/>
      <c r="G134" s="59"/>
      <c r="H134" s="59"/>
      <c r="I134" s="91"/>
      <c r="J134" s="115"/>
      <c r="K134" s="81" t="s">
        <v>115</v>
      </c>
      <c r="L134" s="283">
        <v>0.23899999999999999</v>
      </c>
      <c r="M134" s="83"/>
      <c r="N134" s="444">
        <f>L134*N133</f>
        <v>0</v>
      </c>
    </row>
    <row r="135" spans="2:18" ht="20.100000000000001" customHeight="1" thickBot="1">
      <c r="D135" s="76"/>
      <c r="E135" s="77"/>
      <c r="F135" s="77"/>
      <c r="G135" s="77"/>
      <c r="H135" s="77"/>
      <c r="I135" s="156"/>
      <c r="J135" s="116"/>
      <c r="K135" s="97" t="s">
        <v>133</v>
      </c>
      <c r="L135" s="290"/>
      <c r="M135" s="120"/>
      <c r="N135" s="443">
        <f>N133+N134</f>
        <v>0</v>
      </c>
    </row>
    <row r="136" spans="2:18" ht="20.100000000000001" customHeight="1" thickBot="1">
      <c r="D136" s="121"/>
      <c r="E136" s="122"/>
      <c r="F136" s="122"/>
      <c r="G136" s="123"/>
      <c r="H136" s="122"/>
      <c r="I136" s="227"/>
      <c r="J136" s="124"/>
      <c r="K136" s="549" t="s">
        <v>134</v>
      </c>
      <c r="L136" s="549"/>
      <c r="M136" s="550"/>
      <c r="N136" s="442">
        <f>N131+N135</f>
        <v>0</v>
      </c>
    </row>
    <row r="137" spans="2:18" ht="3.95" customHeight="1" thickBot="1">
      <c r="D137" s="43"/>
      <c r="E137" s="44"/>
      <c r="F137" s="44"/>
      <c r="G137" s="65"/>
      <c r="H137" s="44"/>
      <c r="I137" s="48"/>
      <c r="J137" s="46"/>
      <c r="K137" s="125"/>
      <c r="L137" s="293"/>
      <c r="M137" s="125"/>
      <c r="N137" s="282"/>
    </row>
    <row r="138" spans="2:18" ht="20.100000000000001" customHeight="1">
      <c r="D138" s="126"/>
      <c r="E138" s="108"/>
      <c r="F138" s="108"/>
      <c r="G138" s="109"/>
      <c r="H138" s="108"/>
      <c r="I138" s="228" t="s">
        <v>114</v>
      </c>
      <c r="J138" s="128"/>
      <c r="K138" s="128"/>
      <c r="L138" s="209">
        <v>0</v>
      </c>
      <c r="M138" s="129"/>
      <c r="N138" s="294"/>
    </row>
    <row r="139" spans="2:18" ht="20.100000000000001" customHeight="1">
      <c r="D139" s="43"/>
      <c r="E139" s="44"/>
      <c r="F139" s="44"/>
      <c r="G139" s="65"/>
      <c r="H139" s="44"/>
      <c r="I139" s="563" t="s">
        <v>135</v>
      </c>
      <c r="J139" s="564"/>
      <c r="K139" s="564"/>
      <c r="L139" s="564"/>
      <c r="M139" s="125"/>
      <c r="N139" s="282">
        <f>N123+N129+N133+N138</f>
        <v>40.11</v>
      </c>
    </row>
    <row r="140" spans="2:18" ht="20.100000000000001" customHeight="1" thickBot="1">
      <c r="D140" s="130"/>
      <c r="E140" s="104"/>
      <c r="F140" s="104"/>
      <c r="G140" s="105"/>
      <c r="H140" s="104"/>
      <c r="I140" s="537" t="s">
        <v>136</v>
      </c>
      <c r="J140" s="538"/>
      <c r="K140" s="538"/>
      <c r="L140" s="538"/>
      <c r="M140" s="131"/>
      <c r="N140" s="295">
        <f>N139*2.4</f>
        <v>96.263999999999996</v>
      </c>
    </row>
    <row r="141" spans="2:18" ht="3.95" customHeight="1" thickBot="1">
      <c r="D141" s="98"/>
      <c r="E141" s="99"/>
      <c r="F141" s="44"/>
      <c r="G141" s="65"/>
      <c r="H141" s="44"/>
      <c r="I141" s="48"/>
      <c r="J141" s="46"/>
      <c r="K141" s="46"/>
      <c r="L141" s="48"/>
      <c r="M141" s="100"/>
      <c r="N141" s="282"/>
      <c r="P141" s="132"/>
    </row>
    <row r="142" spans="2:18" ht="20.100000000000001" customHeight="1">
      <c r="D142" s="133"/>
      <c r="E142" s="134"/>
      <c r="F142" s="134"/>
      <c r="G142" s="134"/>
      <c r="H142" s="134"/>
      <c r="I142" s="229" t="s">
        <v>137</v>
      </c>
      <c r="J142" s="135"/>
      <c r="K142" s="135"/>
      <c r="L142" s="209">
        <v>0.16700000000000001</v>
      </c>
      <c r="M142" s="136"/>
      <c r="N142" s="294">
        <f>(N139*L130)+N139</f>
        <v>49.696289999999998</v>
      </c>
    </row>
    <row r="143" spans="2:18" ht="20.100000000000001" customHeight="1" thickBot="1">
      <c r="D143" s="137"/>
      <c r="E143" s="138"/>
      <c r="F143" s="138"/>
      <c r="G143" s="138"/>
      <c r="H143" s="138"/>
      <c r="I143" s="230" t="s">
        <v>138</v>
      </c>
      <c r="J143" s="139"/>
      <c r="K143" s="139"/>
      <c r="L143" s="212">
        <v>0.16700000000000001</v>
      </c>
      <c r="M143" s="140"/>
      <c r="N143" s="295">
        <f>N142</f>
        <v>49.696289999999998</v>
      </c>
      <c r="O143" s="210"/>
      <c r="R143" s="90" t="e">
        <f>(N143/P143)-1</f>
        <v>#DIV/0!</v>
      </c>
    </row>
    <row r="146" spans="2:21" ht="20.100000000000001" customHeight="1" thickBot="1"/>
    <row r="147" spans="2:21" ht="20.100000000000001" customHeight="1">
      <c r="D147" s="598" t="s">
        <v>308</v>
      </c>
      <c r="E147" s="599"/>
      <c r="F147" s="524" t="s">
        <v>74</v>
      </c>
      <c r="G147" s="525"/>
      <c r="H147" s="525"/>
      <c r="I147" s="525"/>
      <c r="J147" s="525"/>
      <c r="K147" s="525"/>
      <c r="L147" s="526"/>
      <c r="M147" s="19" t="s">
        <v>75</v>
      </c>
      <c r="N147" s="20" t="s">
        <v>76</v>
      </c>
      <c r="U147" s="132">
        <f>N184</f>
        <v>7.82</v>
      </c>
    </row>
    <row r="148" spans="2:21" ht="20.100000000000001" customHeight="1">
      <c r="D148" s="600"/>
      <c r="E148" s="601"/>
      <c r="F148" s="512" t="s">
        <v>404</v>
      </c>
      <c r="G148" s="519"/>
      <c r="H148" s="519"/>
      <c r="I148" s="519"/>
      <c r="J148" s="519"/>
      <c r="K148" s="519"/>
      <c r="L148" s="513"/>
      <c r="M148" s="24" t="s">
        <v>5</v>
      </c>
      <c r="N148" s="25">
        <f>DATA</f>
        <v>41214</v>
      </c>
    </row>
    <row r="149" spans="2:21" ht="20.100000000000001" customHeight="1">
      <c r="D149" s="26" t="s">
        <v>77</v>
      </c>
      <c r="E149" s="27"/>
      <c r="F149" s="27"/>
      <c r="G149" s="27"/>
      <c r="H149" s="28"/>
      <c r="I149" s="214" t="s">
        <v>78</v>
      </c>
      <c r="J149" s="509" t="s">
        <v>79</v>
      </c>
      <c r="K149" s="511"/>
      <c r="L149" s="535" t="s">
        <v>80</v>
      </c>
      <c r="M149" s="536"/>
      <c r="N149" s="516" t="s">
        <v>81</v>
      </c>
    </row>
    <row r="150" spans="2:21" ht="20.100000000000001" customHeight="1">
      <c r="D150" s="31"/>
      <c r="E150" s="32"/>
      <c r="F150" s="32"/>
      <c r="G150" s="32"/>
      <c r="H150" s="33"/>
      <c r="I150" s="34"/>
      <c r="J150" s="51" t="s">
        <v>82</v>
      </c>
      <c r="K150" s="51" t="s">
        <v>83</v>
      </c>
      <c r="L150" s="51" t="s">
        <v>82</v>
      </c>
      <c r="M150" s="51" t="s">
        <v>84</v>
      </c>
      <c r="N150" s="517"/>
    </row>
    <row r="151" spans="2:21" ht="20.100000000000001" customHeight="1">
      <c r="B151" s="260" t="s">
        <v>399</v>
      </c>
      <c r="D151" s="264" t="str">
        <f t="shared" ref="D151:D157" si="13">IF(B151=0,0,VLOOKUP(B151,EQUIP,3,FALSE))</f>
        <v>TRATOR DE ESTEIRAS - COM LÂMINA (82 KW)</v>
      </c>
      <c r="E151" s="265"/>
      <c r="F151" s="265"/>
      <c r="G151" s="265"/>
      <c r="H151" s="266"/>
      <c r="I151" s="318">
        <v>1</v>
      </c>
      <c r="J151" s="318">
        <v>1</v>
      </c>
      <c r="K151" s="318">
        <f>1-J151</f>
        <v>0</v>
      </c>
      <c r="L151" s="318">
        <f t="shared" ref="L151:L157" si="14">IF(B151=0,0,VLOOKUP(B151,EQUIP,6,FALSE))</f>
        <v>177.63</v>
      </c>
      <c r="M151" s="318">
        <f t="shared" ref="M151:M157" si="15">IF(B151=0,0,VLOOKUP(B151,EQUIP,7,FALSE))</f>
        <v>22.39</v>
      </c>
      <c r="N151" s="319">
        <f t="shared" ref="N151:N157" si="16">ROUND(I151*J151*L151+I151*K151*M151,2)</f>
        <v>177.63</v>
      </c>
    </row>
    <row r="152" spans="2:21" ht="20.100000000000001" customHeight="1">
      <c r="B152" s="260" t="s">
        <v>281</v>
      </c>
      <c r="D152" s="264" t="str">
        <f t="shared" si="13"/>
        <v>MOTONIVELADORA - 93 KW</v>
      </c>
      <c r="E152" s="265"/>
      <c r="F152" s="265"/>
      <c r="G152" s="265"/>
      <c r="H152" s="266"/>
      <c r="I152" s="263">
        <v>1</v>
      </c>
      <c r="J152" s="263">
        <v>0.24</v>
      </c>
      <c r="K152" s="318">
        <f>1-J152</f>
        <v>0.76</v>
      </c>
      <c r="L152" s="318">
        <f t="shared" si="14"/>
        <v>153.06</v>
      </c>
      <c r="M152" s="318">
        <f t="shared" si="15"/>
        <v>22.39</v>
      </c>
      <c r="N152" s="319">
        <f t="shared" si="16"/>
        <v>53.75</v>
      </c>
    </row>
    <row r="153" spans="2:21" ht="20.100000000000001" customHeight="1">
      <c r="B153" s="260" t="s">
        <v>268</v>
      </c>
      <c r="D153" s="264" t="str">
        <f t="shared" si="13"/>
        <v>CARREGADEIRA DE PNEUS - 1,33 m³ (79kW)</v>
      </c>
      <c r="E153" s="265"/>
      <c r="F153" s="265"/>
      <c r="G153" s="265"/>
      <c r="H153" s="266"/>
      <c r="I153" s="318">
        <v>1</v>
      </c>
      <c r="J153" s="318">
        <v>0.56000000000000005</v>
      </c>
      <c r="K153" s="318">
        <f>1-J153</f>
        <v>0.43999999999999995</v>
      </c>
      <c r="L153" s="318">
        <f t="shared" si="14"/>
        <v>90.018789144050103</v>
      </c>
      <c r="M153" s="318">
        <f t="shared" si="15"/>
        <v>22.39</v>
      </c>
      <c r="N153" s="319">
        <f t="shared" si="16"/>
        <v>60.26</v>
      </c>
    </row>
    <row r="154" spans="2:21" ht="20.100000000000001" customHeight="1">
      <c r="B154" s="260"/>
      <c r="D154" s="264">
        <f t="shared" si="13"/>
        <v>0</v>
      </c>
      <c r="E154" s="265"/>
      <c r="F154" s="265"/>
      <c r="G154" s="265"/>
      <c r="H154" s="266"/>
      <c r="I154" s="263"/>
      <c r="J154" s="263"/>
      <c r="K154" s="263"/>
      <c r="L154" s="318">
        <f t="shared" si="14"/>
        <v>0</v>
      </c>
      <c r="M154" s="318">
        <f t="shared" si="15"/>
        <v>0</v>
      </c>
      <c r="N154" s="319">
        <f t="shared" si="16"/>
        <v>0</v>
      </c>
    </row>
    <row r="155" spans="2:21" ht="20.100000000000001" customHeight="1">
      <c r="B155" s="260"/>
      <c r="D155" s="264">
        <f t="shared" si="13"/>
        <v>0</v>
      </c>
      <c r="E155" s="265"/>
      <c r="F155" s="265"/>
      <c r="G155" s="265"/>
      <c r="H155" s="266"/>
      <c r="I155" s="263"/>
      <c r="J155" s="263"/>
      <c r="K155" s="263"/>
      <c r="L155" s="318">
        <f t="shared" si="14"/>
        <v>0</v>
      </c>
      <c r="M155" s="318">
        <f t="shared" si="15"/>
        <v>0</v>
      </c>
      <c r="N155" s="319">
        <f t="shared" si="16"/>
        <v>0</v>
      </c>
    </row>
    <row r="156" spans="2:21" ht="20.100000000000001" customHeight="1">
      <c r="B156" s="260"/>
      <c r="D156" s="264">
        <f t="shared" si="13"/>
        <v>0</v>
      </c>
      <c r="E156" s="265"/>
      <c r="F156" s="265"/>
      <c r="G156" s="265"/>
      <c r="H156" s="266"/>
      <c r="I156" s="263"/>
      <c r="J156" s="318"/>
      <c r="K156" s="318"/>
      <c r="L156" s="318">
        <f t="shared" si="14"/>
        <v>0</v>
      </c>
      <c r="M156" s="318">
        <f t="shared" si="15"/>
        <v>0</v>
      </c>
      <c r="N156" s="319">
        <f t="shared" si="16"/>
        <v>0</v>
      </c>
    </row>
    <row r="157" spans="2:21" ht="20.100000000000001" customHeight="1">
      <c r="B157" s="260"/>
      <c r="D157" s="264">
        <f t="shared" si="13"/>
        <v>0</v>
      </c>
      <c r="E157" s="265"/>
      <c r="F157" s="265"/>
      <c r="G157" s="265"/>
      <c r="H157" s="266"/>
      <c r="I157" s="263"/>
      <c r="J157" s="318"/>
      <c r="K157" s="318"/>
      <c r="L157" s="318">
        <f t="shared" si="14"/>
        <v>0</v>
      </c>
      <c r="M157" s="318">
        <f t="shared" si="15"/>
        <v>0</v>
      </c>
      <c r="N157" s="319">
        <f t="shared" si="16"/>
        <v>0</v>
      </c>
    </row>
    <row r="158" spans="2:21" ht="20.100000000000001" customHeight="1">
      <c r="D158" s="155"/>
      <c r="E158" s="156"/>
      <c r="F158" s="156"/>
      <c r="G158" s="156"/>
      <c r="H158" s="156"/>
      <c r="I158" s="235"/>
      <c r="J158" s="157"/>
      <c r="K158" s="157"/>
      <c r="L158" s="216"/>
      <c r="M158" s="42" t="s">
        <v>89</v>
      </c>
      <c r="N158" s="270">
        <f>SUM(N151:N157)</f>
        <v>291.64</v>
      </c>
    </row>
    <row r="159" spans="2:21" ht="3.95" customHeight="1">
      <c r="D159" s="158"/>
      <c r="E159" s="159"/>
      <c r="F159" s="159"/>
      <c r="G159" s="160"/>
      <c r="H159" s="159"/>
      <c r="I159" s="236"/>
      <c r="J159" s="161"/>
      <c r="K159" s="162"/>
      <c r="L159" s="163"/>
      <c r="M159" s="163"/>
      <c r="N159" s="300"/>
    </row>
    <row r="160" spans="2:21" ht="20.100000000000001" customHeight="1">
      <c r="D160" s="518" t="s">
        <v>90</v>
      </c>
      <c r="E160" s="519"/>
      <c r="F160" s="519"/>
      <c r="G160" s="519"/>
      <c r="H160" s="519"/>
      <c r="I160" s="519"/>
      <c r="J160" s="513"/>
      <c r="K160" s="50" t="s">
        <v>91</v>
      </c>
      <c r="L160" s="51" t="s">
        <v>92</v>
      </c>
      <c r="M160" s="51" t="s">
        <v>93</v>
      </c>
      <c r="N160" s="272" t="s">
        <v>94</v>
      </c>
    </row>
    <row r="161" spans="2:14" ht="20.100000000000001" customHeight="1">
      <c r="B161" s="260" t="s">
        <v>247</v>
      </c>
      <c r="D161" s="264" t="str">
        <f>IF(B161=0,0,VLOOKUP(B161,MO,2,FALSE))</f>
        <v>ENCARREGADO DE TURMA</v>
      </c>
      <c r="E161" s="53"/>
      <c r="F161" s="53"/>
      <c r="G161" s="53"/>
      <c r="H161" s="53"/>
      <c r="I161" s="36"/>
      <c r="J161" s="54"/>
      <c r="K161" s="152"/>
      <c r="L161" s="164">
        <v>1</v>
      </c>
      <c r="M161" s="263">
        <f>IF(B161=0,0,VLOOKUP(B161,MO,6,FALSE))</f>
        <v>27</v>
      </c>
      <c r="N161" s="316">
        <f>ROUND(L161*M161,2)</f>
        <v>27</v>
      </c>
    </row>
    <row r="162" spans="2:14" ht="20.100000000000001" customHeight="1">
      <c r="B162" s="260" t="s">
        <v>248</v>
      </c>
      <c r="D162" s="264" t="str">
        <f>IF(B162=0,0,VLOOKUP(B162,MO,2,FALSE))</f>
        <v>SERVENTE</v>
      </c>
      <c r="E162" s="53"/>
      <c r="F162" s="53"/>
      <c r="G162" s="53"/>
      <c r="H162" s="53"/>
      <c r="I162" s="36"/>
      <c r="J162" s="54"/>
      <c r="K162" s="152"/>
      <c r="L162" s="164">
        <v>3</v>
      </c>
      <c r="M162" s="263">
        <f>IF(B162=0,0,VLOOKUP(B162,MO,6,FALSE))</f>
        <v>7.9973000000000001</v>
      </c>
      <c r="N162" s="316">
        <f>ROUND(L162*M162,2)</f>
        <v>23.99</v>
      </c>
    </row>
    <row r="163" spans="2:14" ht="20.100000000000001" customHeight="1">
      <c r="B163" s="260"/>
      <c r="D163" s="52" t="s">
        <v>122</v>
      </c>
      <c r="E163" s="53"/>
      <c r="F163" s="53"/>
      <c r="G163" s="53"/>
      <c r="H163" s="53"/>
      <c r="I163" s="36"/>
      <c r="J163" s="54"/>
      <c r="K163" s="165">
        <v>0</v>
      </c>
      <c r="L163" s="320">
        <f>N161+N162</f>
        <v>50.989999999999995</v>
      </c>
      <c r="M163" s="164"/>
      <c r="N163" s="316">
        <f>ROUND(L163*K163,2)</f>
        <v>0</v>
      </c>
    </row>
    <row r="164" spans="2:14" ht="20.100000000000001" customHeight="1">
      <c r="D164" s="167"/>
      <c r="E164" s="59"/>
      <c r="F164" s="168"/>
      <c r="G164" s="168"/>
      <c r="H164" s="159"/>
      <c r="I164" s="236"/>
      <c r="J164" s="169"/>
      <c r="K164" s="162"/>
      <c r="L164" s="163"/>
      <c r="M164" s="62" t="s">
        <v>98</v>
      </c>
      <c r="N164" s="302">
        <f>SUM(N161:N163)</f>
        <v>50.989999999999995</v>
      </c>
    </row>
    <row r="165" spans="2:14" ht="3.95" customHeight="1">
      <c r="D165" s="158"/>
      <c r="E165" s="159"/>
      <c r="F165" s="159"/>
      <c r="G165" s="159"/>
      <c r="H165" s="159"/>
      <c r="I165" s="236"/>
      <c r="J165" s="169"/>
      <c r="K165" s="162"/>
      <c r="L165" s="163"/>
      <c r="M165" s="163"/>
      <c r="N165" s="300"/>
    </row>
    <row r="166" spans="2:14" ht="20.100000000000001" customHeight="1">
      <c r="D166" s="170"/>
      <c r="E166" s="168"/>
      <c r="F166" s="168"/>
      <c r="G166" s="168"/>
      <c r="H166" s="171"/>
      <c r="I166" s="237"/>
      <c r="J166" s="171"/>
      <c r="K166" s="509" t="s">
        <v>99</v>
      </c>
      <c r="L166" s="510"/>
      <c r="M166" s="511"/>
      <c r="N166" s="303">
        <f>+N158+N164</f>
        <v>342.63</v>
      </c>
    </row>
    <row r="167" spans="2:14" ht="3.95" customHeight="1">
      <c r="D167" s="172"/>
      <c r="E167" s="159"/>
      <c r="F167" s="159"/>
      <c r="G167" s="160"/>
      <c r="H167" s="159"/>
      <c r="I167" s="236"/>
      <c r="J167" s="161"/>
      <c r="K167" s="162"/>
      <c r="L167" s="163"/>
      <c r="M167" s="163"/>
      <c r="N167" s="300"/>
    </row>
    <row r="168" spans="2:14" ht="20.100000000000001" customHeight="1">
      <c r="D168" s="167"/>
      <c r="E168" s="509" t="s">
        <v>100</v>
      </c>
      <c r="F168" s="510"/>
      <c r="G168" s="510"/>
      <c r="H168" s="511"/>
      <c r="I168" s="238">
        <v>70</v>
      </c>
      <c r="J168" s="163"/>
      <c r="K168" s="506" t="s">
        <v>101</v>
      </c>
      <c r="L168" s="507"/>
      <c r="M168" s="508"/>
      <c r="N168" s="304">
        <f>ROUND(N166/I168,2)</f>
        <v>4.8899999999999997</v>
      </c>
    </row>
    <row r="169" spans="2:14" ht="3.95" customHeight="1">
      <c r="D169" s="158"/>
      <c r="E169" s="159"/>
      <c r="F169" s="159"/>
      <c r="G169" s="173"/>
      <c r="H169" s="159"/>
      <c r="I169" s="163"/>
      <c r="J169" s="161"/>
      <c r="K169" s="161"/>
      <c r="L169" s="163"/>
      <c r="M169" s="161"/>
      <c r="N169" s="305"/>
    </row>
    <row r="170" spans="2:14" ht="20.100000000000001" customHeight="1">
      <c r="D170" s="49" t="s">
        <v>102</v>
      </c>
      <c r="E170" s="22"/>
      <c r="F170" s="22"/>
      <c r="G170" s="22"/>
      <c r="H170" s="22"/>
      <c r="I170" s="141"/>
      <c r="J170" s="23"/>
      <c r="K170" s="50" t="s">
        <v>103</v>
      </c>
      <c r="L170" s="51" t="s">
        <v>80</v>
      </c>
      <c r="M170" s="51" t="s">
        <v>104</v>
      </c>
      <c r="N170" s="272" t="s">
        <v>105</v>
      </c>
    </row>
    <row r="171" spans="2:14" ht="20.100000000000001" customHeight="1">
      <c r="B171" s="260" t="s">
        <v>401</v>
      </c>
      <c r="D171" s="264" t="str">
        <f>IF(B171=0,0,VLOOKUP(B171,MAT,3,FALSE))</f>
        <v>INDENIZAÇÃO DE JAZIDA</v>
      </c>
      <c r="E171" s="53"/>
      <c r="F171" s="53"/>
      <c r="G171" s="53"/>
      <c r="H171" s="53"/>
      <c r="I171" s="36"/>
      <c r="J171" s="54"/>
      <c r="K171" s="66" t="str">
        <f>IF(B171=0,0,VLOOKUP(B171,MAT,5,FALSE))</f>
        <v>M3</v>
      </c>
      <c r="L171" s="267">
        <f>IF(B171=0,0,VLOOKUP(B171,MAT,6,FALSE))</f>
        <v>1.37</v>
      </c>
      <c r="M171" s="174">
        <v>1</v>
      </c>
      <c r="N171" s="316">
        <f>ROUND(L171*M171,2)</f>
        <v>1.37</v>
      </c>
    </row>
    <row r="172" spans="2:14" ht="20.100000000000001" customHeight="1">
      <c r="B172" s="260" t="s">
        <v>314</v>
      </c>
      <c r="D172" s="264" t="str">
        <f>IF(B172=0,0,VLOOKUP(B172,MAT,3,FALSE))</f>
        <v>LIMPEZA DE CAMADA VEGETAL EM JAZIDA  (CONSV)</v>
      </c>
      <c r="E172" s="53"/>
      <c r="F172" s="53"/>
      <c r="G172" s="53"/>
      <c r="H172" s="53"/>
      <c r="I172" s="36"/>
      <c r="J172" s="54"/>
      <c r="K172" s="262" t="str">
        <f>IF(B172=0,0,VLOOKUP(B172,MAT,5,FALSE))</f>
        <v>M2</v>
      </c>
      <c r="L172" s="267">
        <f>IF(B172=0,0,VLOOKUP(B172,MAT,6,FALSE))</f>
        <v>0.41</v>
      </c>
      <c r="M172" s="174">
        <v>0.7</v>
      </c>
      <c r="N172" s="316">
        <f>ROUND(L172*M172,2)</f>
        <v>0.28999999999999998</v>
      </c>
    </row>
    <row r="173" spans="2:14" ht="20.100000000000001" customHeight="1">
      <c r="B173" s="260" t="s">
        <v>309</v>
      </c>
      <c r="D173" s="264" t="str">
        <f>IF(B173=0,0,VLOOKUP(B173,MAT,3,FALSE))</f>
        <v>EXPURGO DE JAZIDA  (CONSV)</v>
      </c>
      <c r="E173" s="53"/>
      <c r="F173" s="53"/>
      <c r="G173" s="53"/>
      <c r="H173" s="53"/>
      <c r="I173" s="36"/>
      <c r="J173" s="54"/>
      <c r="K173" s="262" t="str">
        <f>IF(B173=0,0,VLOOKUP(B173,MAT,5,FALSE))</f>
        <v>M3</v>
      </c>
      <c r="L173" s="267">
        <f>IF(B173=0,0,VLOOKUP(B173,MAT,6,FALSE))</f>
        <v>6.34</v>
      </c>
      <c r="M173" s="174">
        <v>0.2</v>
      </c>
      <c r="N173" s="316">
        <f>ROUND(L173*M173,2)</f>
        <v>1.27</v>
      </c>
    </row>
    <row r="174" spans="2:14" ht="20.100000000000001" customHeight="1">
      <c r="D174" s="158"/>
      <c r="E174" s="159"/>
      <c r="F174" s="159"/>
      <c r="G174" s="173"/>
      <c r="H174" s="159"/>
      <c r="I174" s="163"/>
      <c r="J174" s="161"/>
      <c r="K174" s="161"/>
      <c r="L174" s="163"/>
      <c r="M174" s="71" t="s">
        <v>106</v>
      </c>
      <c r="N174" s="302">
        <f>SUM(N171:N173)</f>
        <v>2.93</v>
      </c>
    </row>
    <row r="175" spans="2:14" ht="20.100000000000001" customHeight="1">
      <c r="D175" s="158"/>
      <c r="E175" s="159"/>
      <c r="F175" s="159"/>
      <c r="G175" s="173"/>
      <c r="H175" s="159"/>
      <c r="I175" s="163"/>
      <c r="J175" s="161"/>
      <c r="K175" s="161"/>
      <c r="L175" s="163"/>
      <c r="M175" s="161"/>
      <c r="N175" s="305"/>
    </row>
    <row r="176" spans="2:14" ht="20.100000000000001" customHeight="1">
      <c r="D176" s="527" t="s">
        <v>107</v>
      </c>
      <c r="E176" s="72" t="s">
        <v>2</v>
      </c>
      <c r="F176" s="73"/>
      <c r="G176" s="73"/>
      <c r="H176" s="74"/>
      <c r="I176" s="498" t="s">
        <v>108</v>
      </c>
      <c r="J176" s="499"/>
      <c r="K176" s="531" t="s">
        <v>103</v>
      </c>
      <c r="L176" s="514" t="s">
        <v>80</v>
      </c>
      <c r="M176" s="531" t="s">
        <v>109</v>
      </c>
      <c r="N176" s="529" t="s">
        <v>105</v>
      </c>
    </row>
    <row r="177" spans="2:21" ht="20.100000000000001" customHeight="1">
      <c r="D177" s="528"/>
      <c r="E177" s="512" t="s">
        <v>110</v>
      </c>
      <c r="F177" s="513"/>
      <c r="G177" s="512" t="s">
        <v>111</v>
      </c>
      <c r="H177" s="513"/>
      <c r="I177" s="500"/>
      <c r="J177" s="501"/>
      <c r="K177" s="532"/>
      <c r="L177" s="515"/>
      <c r="M177" s="532"/>
      <c r="N177" s="530"/>
    </row>
    <row r="178" spans="2:21" ht="20.100000000000001" customHeight="1">
      <c r="B178" s="260"/>
      <c r="D178" s="261">
        <f>IF(B178=0,0,VLOOKUP(B178,TRANS,3,FALSE))</f>
        <v>0</v>
      </c>
      <c r="E178" s="581">
        <f>IF(B178=0,0,VLOOKUP(B178,TRANS,5,FALSE))</f>
        <v>0</v>
      </c>
      <c r="F178" s="582"/>
      <c r="G178" s="502"/>
      <c r="H178" s="503"/>
      <c r="I178" s="533"/>
      <c r="J178" s="534">
        <v>50</v>
      </c>
      <c r="K178" s="262">
        <f>IF(B178=0,0,VLOOKUP(B178,TRANS,4,FALSE))</f>
        <v>0</v>
      </c>
      <c r="L178" s="387">
        <f>E178*I178</f>
        <v>0</v>
      </c>
      <c r="M178" s="70"/>
      <c r="N178" s="317">
        <f>ROUND(L178*M178,2)</f>
        <v>0</v>
      </c>
    </row>
    <row r="179" spans="2:21" ht="20.100000000000001" customHeight="1">
      <c r="B179" s="260"/>
      <c r="D179" s="261"/>
      <c r="E179" s="504"/>
      <c r="F179" s="505"/>
      <c r="G179" s="502"/>
      <c r="H179" s="503"/>
      <c r="I179" s="533"/>
      <c r="J179" s="534"/>
      <c r="K179" s="66"/>
      <c r="L179" s="67"/>
      <c r="M179" s="70"/>
      <c r="N179" s="278"/>
    </row>
    <row r="180" spans="2:21" ht="20.100000000000001" customHeight="1">
      <c r="D180" s="175"/>
      <c r="E180" s="176"/>
      <c r="F180" s="159"/>
      <c r="G180" s="173"/>
      <c r="H180" s="159"/>
      <c r="I180" s="163"/>
      <c r="J180" s="161"/>
      <c r="K180" s="161"/>
      <c r="L180" s="163"/>
      <c r="M180" s="71" t="s">
        <v>112</v>
      </c>
      <c r="N180" s="437">
        <f>SUM(N178:N179)</f>
        <v>0</v>
      </c>
    </row>
    <row r="181" spans="2:21" ht="3.95" customHeight="1" thickBot="1">
      <c r="D181" s="175"/>
      <c r="E181" s="159"/>
      <c r="F181" s="173"/>
      <c r="G181" s="159"/>
      <c r="H181" s="161"/>
      <c r="I181" s="163"/>
      <c r="J181" s="161"/>
      <c r="K181" s="161"/>
      <c r="L181" s="163"/>
      <c r="M181" s="161"/>
      <c r="N181" s="305"/>
    </row>
    <row r="182" spans="2:21" ht="20.100000000000001" customHeight="1">
      <c r="D182" s="177"/>
      <c r="E182" s="178"/>
      <c r="F182" s="178"/>
      <c r="G182" s="178"/>
      <c r="H182" s="179"/>
      <c r="I182" s="239"/>
      <c r="J182" s="127" t="s">
        <v>114</v>
      </c>
      <c r="K182" s="128"/>
      <c r="L182" s="306"/>
      <c r="M182" s="129">
        <v>0</v>
      </c>
      <c r="N182" s="447">
        <f>(+$N168+$N174+$N180)*M182</f>
        <v>0</v>
      </c>
    </row>
    <row r="183" spans="2:21" ht="20.100000000000001" customHeight="1" thickBot="1">
      <c r="D183" s="180"/>
      <c r="E183" s="181"/>
      <c r="F183" s="181"/>
      <c r="G183" s="181"/>
      <c r="H183" s="181"/>
      <c r="I183" s="240"/>
      <c r="J183" s="537" t="s">
        <v>149</v>
      </c>
      <c r="K183" s="538"/>
      <c r="L183" s="538"/>
      <c r="M183" s="538"/>
      <c r="N183" s="308">
        <f>+$N168+$N174+$N180+N182</f>
        <v>7.82</v>
      </c>
    </row>
    <row r="184" spans="2:21" ht="20.100000000000001" customHeight="1" thickBot="1">
      <c r="D184" s="182"/>
      <c r="E184" s="183"/>
      <c r="F184" s="183"/>
      <c r="G184" s="183"/>
      <c r="H184" s="183"/>
      <c r="I184" s="241"/>
      <c r="J184" s="184" t="s">
        <v>158</v>
      </c>
      <c r="K184" s="185"/>
      <c r="L184" s="309"/>
      <c r="M184" s="186">
        <v>0</v>
      </c>
      <c r="N184" s="310">
        <f>(M184*N183)+N183</f>
        <v>7.82</v>
      </c>
      <c r="O184" s="210"/>
      <c r="P184" s="16">
        <v>48.42</v>
      </c>
      <c r="R184" s="90">
        <f>(N184/P184)-1</f>
        <v>-0.83849648905410989</v>
      </c>
    </row>
    <row r="187" spans="2:21" ht="20.100000000000001" customHeight="1" thickBot="1"/>
    <row r="188" spans="2:21" ht="20.100000000000001" customHeight="1">
      <c r="D188" s="598" t="s">
        <v>309</v>
      </c>
      <c r="E188" s="599"/>
      <c r="F188" s="524" t="s">
        <v>74</v>
      </c>
      <c r="G188" s="525"/>
      <c r="H188" s="525"/>
      <c r="I188" s="525"/>
      <c r="J188" s="525"/>
      <c r="K188" s="525"/>
      <c r="L188" s="526"/>
      <c r="M188" s="19" t="s">
        <v>75</v>
      </c>
      <c r="N188" s="20" t="s">
        <v>76</v>
      </c>
      <c r="U188" s="132">
        <f>N225</f>
        <v>6.34</v>
      </c>
    </row>
    <row r="189" spans="2:21" ht="20.100000000000001" customHeight="1">
      <c r="D189" s="600"/>
      <c r="E189" s="601"/>
      <c r="F189" s="512" t="s">
        <v>405</v>
      </c>
      <c r="G189" s="519"/>
      <c r="H189" s="519"/>
      <c r="I189" s="519"/>
      <c r="J189" s="519"/>
      <c r="K189" s="519"/>
      <c r="L189" s="513"/>
      <c r="M189" s="24" t="s">
        <v>5</v>
      </c>
      <c r="N189" s="25">
        <f>DATA</f>
        <v>41214</v>
      </c>
    </row>
    <row r="190" spans="2:21" ht="20.100000000000001" customHeight="1">
      <c r="D190" s="26" t="s">
        <v>77</v>
      </c>
      <c r="E190" s="27"/>
      <c r="F190" s="27"/>
      <c r="G190" s="27"/>
      <c r="H190" s="28"/>
      <c r="I190" s="214" t="s">
        <v>78</v>
      </c>
      <c r="J190" s="509" t="s">
        <v>79</v>
      </c>
      <c r="K190" s="511"/>
      <c r="L190" s="535" t="s">
        <v>80</v>
      </c>
      <c r="M190" s="536"/>
      <c r="N190" s="516" t="s">
        <v>81</v>
      </c>
    </row>
    <row r="191" spans="2:21" ht="20.100000000000001" customHeight="1">
      <c r="D191" s="31"/>
      <c r="E191" s="32"/>
      <c r="F191" s="32"/>
      <c r="G191" s="32"/>
      <c r="H191" s="33"/>
      <c r="I191" s="34"/>
      <c r="J191" s="51" t="s">
        <v>82</v>
      </c>
      <c r="K191" s="51" t="s">
        <v>83</v>
      </c>
      <c r="L191" s="51" t="s">
        <v>82</v>
      </c>
      <c r="M191" s="51" t="s">
        <v>84</v>
      </c>
      <c r="N191" s="517"/>
    </row>
    <row r="192" spans="2:21" ht="20.100000000000001" customHeight="1">
      <c r="B192" s="260" t="s">
        <v>399</v>
      </c>
      <c r="D192" s="264" t="str">
        <f t="shared" ref="D192:D198" si="17">IF(B192=0,0,VLOOKUP(B192,EQUIP,3,FALSE))</f>
        <v>TRATOR DE ESTEIRAS - COM LÂMINA (82 KW)</v>
      </c>
      <c r="E192" s="265"/>
      <c r="F192" s="265"/>
      <c r="G192" s="265"/>
      <c r="H192" s="266"/>
      <c r="I192" s="318">
        <v>1</v>
      </c>
      <c r="J192" s="318">
        <v>1</v>
      </c>
      <c r="K192" s="318">
        <f>1-J192</f>
        <v>0</v>
      </c>
      <c r="L192" s="318">
        <f t="shared" ref="L192:L198" si="18">IF(B192=0,0,VLOOKUP(B192,EQUIP,6,FALSE))</f>
        <v>177.63</v>
      </c>
      <c r="M192" s="318">
        <f t="shared" ref="M192:M198" si="19">IF(B192=0,0,VLOOKUP(B192,EQUIP,7,FALSE))</f>
        <v>22.39</v>
      </c>
      <c r="N192" s="319">
        <f t="shared" ref="N192:N198" si="20">ROUND(I192*J192*L192+I192*K192*M192,2)</f>
        <v>177.63</v>
      </c>
    </row>
    <row r="193" spans="2:14" ht="20.100000000000001" customHeight="1">
      <c r="B193" s="260"/>
      <c r="D193" s="264">
        <f t="shared" si="17"/>
        <v>0</v>
      </c>
      <c r="E193" s="265"/>
      <c r="F193" s="265"/>
      <c r="G193" s="265"/>
      <c r="H193" s="266"/>
      <c r="I193" s="263"/>
      <c r="J193" s="263"/>
      <c r="K193" s="318"/>
      <c r="L193" s="318">
        <f t="shared" si="18"/>
        <v>0</v>
      </c>
      <c r="M193" s="318">
        <f t="shared" si="19"/>
        <v>0</v>
      </c>
      <c r="N193" s="319">
        <f t="shared" si="20"/>
        <v>0</v>
      </c>
    </row>
    <row r="194" spans="2:14" ht="20.100000000000001" customHeight="1">
      <c r="B194" s="260"/>
      <c r="D194" s="264">
        <f t="shared" si="17"/>
        <v>0</v>
      </c>
      <c r="E194" s="265"/>
      <c r="F194" s="265"/>
      <c r="G194" s="265"/>
      <c r="H194" s="266"/>
      <c r="I194" s="318"/>
      <c r="J194" s="318"/>
      <c r="K194" s="318"/>
      <c r="L194" s="318">
        <f t="shared" si="18"/>
        <v>0</v>
      </c>
      <c r="M194" s="318">
        <f t="shared" si="19"/>
        <v>0</v>
      </c>
      <c r="N194" s="319">
        <f t="shared" si="20"/>
        <v>0</v>
      </c>
    </row>
    <row r="195" spans="2:14" ht="20.100000000000001" customHeight="1">
      <c r="B195" s="260"/>
      <c r="D195" s="264">
        <f t="shared" si="17"/>
        <v>0</v>
      </c>
      <c r="E195" s="265"/>
      <c r="F195" s="265"/>
      <c r="G195" s="265"/>
      <c r="H195" s="266"/>
      <c r="I195" s="263"/>
      <c r="J195" s="263"/>
      <c r="K195" s="318"/>
      <c r="L195" s="318">
        <f t="shared" si="18"/>
        <v>0</v>
      </c>
      <c r="M195" s="318">
        <f t="shared" si="19"/>
        <v>0</v>
      </c>
      <c r="N195" s="319">
        <f t="shared" si="20"/>
        <v>0</v>
      </c>
    </row>
    <row r="196" spans="2:14" ht="20.100000000000001" customHeight="1">
      <c r="B196" s="260"/>
      <c r="D196" s="264">
        <f t="shared" si="17"/>
        <v>0</v>
      </c>
      <c r="E196" s="265"/>
      <c r="F196" s="265"/>
      <c r="G196" s="265"/>
      <c r="H196" s="266"/>
      <c r="I196" s="263"/>
      <c r="J196" s="263"/>
      <c r="K196" s="318"/>
      <c r="L196" s="318">
        <f t="shared" si="18"/>
        <v>0</v>
      </c>
      <c r="M196" s="318">
        <f t="shared" si="19"/>
        <v>0</v>
      </c>
      <c r="N196" s="319">
        <f t="shared" si="20"/>
        <v>0</v>
      </c>
    </row>
    <row r="197" spans="2:14" ht="20.100000000000001" customHeight="1">
      <c r="B197" s="260"/>
      <c r="D197" s="264">
        <f t="shared" si="17"/>
        <v>0</v>
      </c>
      <c r="E197" s="265"/>
      <c r="F197" s="265"/>
      <c r="G197" s="265"/>
      <c r="H197" s="266"/>
      <c r="I197" s="263"/>
      <c r="J197" s="318"/>
      <c r="K197" s="318"/>
      <c r="L197" s="318">
        <f t="shared" si="18"/>
        <v>0</v>
      </c>
      <c r="M197" s="318">
        <f t="shared" si="19"/>
        <v>0</v>
      </c>
      <c r="N197" s="319">
        <f t="shared" si="20"/>
        <v>0</v>
      </c>
    </row>
    <row r="198" spans="2:14" ht="20.100000000000001" customHeight="1">
      <c r="B198" s="260"/>
      <c r="D198" s="264">
        <f t="shared" si="17"/>
        <v>0</v>
      </c>
      <c r="E198" s="265"/>
      <c r="F198" s="265"/>
      <c r="G198" s="265"/>
      <c r="H198" s="266"/>
      <c r="I198" s="263"/>
      <c r="J198" s="318"/>
      <c r="K198" s="318"/>
      <c r="L198" s="318">
        <f t="shared" si="18"/>
        <v>0</v>
      </c>
      <c r="M198" s="318">
        <f t="shared" si="19"/>
        <v>0</v>
      </c>
      <c r="N198" s="319">
        <f t="shared" si="20"/>
        <v>0</v>
      </c>
    </row>
    <row r="199" spans="2:14" ht="20.100000000000001" customHeight="1">
      <c r="D199" s="155"/>
      <c r="E199" s="156"/>
      <c r="F199" s="156"/>
      <c r="G199" s="156"/>
      <c r="H199" s="156"/>
      <c r="I199" s="235"/>
      <c r="J199" s="157"/>
      <c r="K199" s="157"/>
      <c r="L199" s="216"/>
      <c r="M199" s="42" t="s">
        <v>89</v>
      </c>
      <c r="N199" s="270">
        <f>SUM(N192:N198)</f>
        <v>177.63</v>
      </c>
    </row>
    <row r="200" spans="2:14" ht="3.95" customHeight="1">
      <c r="D200" s="158"/>
      <c r="E200" s="159"/>
      <c r="F200" s="159"/>
      <c r="G200" s="160"/>
      <c r="H200" s="159"/>
      <c r="I200" s="236"/>
      <c r="J200" s="161"/>
      <c r="K200" s="162"/>
      <c r="L200" s="163"/>
      <c r="M200" s="163"/>
      <c r="N200" s="300"/>
    </row>
    <row r="201" spans="2:14" ht="20.100000000000001" customHeight="1">
      <c r="D201" s="518" t="s">
        <v>90</v>
      </c>
      <c r="E201" s="519"/>
      <c r="F201" s="519"/>
      <c r="G201" s="519"/>
      <c r="H201" s="519"/>
      <c r="I201" s="519"/>
      <c r="J201" s="513"/>
      <c r="K201" s="50" t="s">
        <v>91</v>
      </c>
      <c r="L201" s="51" t="s">
        <v>92</v>
      </c>
      <c r="M201" s="51" t="s">
        <v>93</v>
      </c>
      <c r="N201" s="272" t="s">
        <v>94</v>
      </c>
    </row>
    <row r="202" spans="2:14" ht="20.100000000000001" customHeight="1">
      <c r="B202" s="260" t="s">
        <v>247</v>
      </c>
      <c r="D202" s="264" t="str">
        <f>IF(B202=0,0,VLOOKUP(B202,MO,2,FALSE))</f>
        <v>ENCARREGADO DE TURMA</v>
      </c>
      <c r="E202" s="53"/>
      <c r="F202" s="53"/>
      <c r="G202" s="53"/>
      <c r="H202" s="53"/>
      <c r="I202" s="36"/>
      <c r="J202" s="54"/>
      <c r="K202" s="152"/>
      <c r="L202" s="164">
        <v>0.3</v>
      </c>
      <c r="M202" s="263">
        <f>IF(B202=0,0,VLOOKUP(B202,MO,6,FALSE))</f>
        <v>27</v>
      </c>
      <c r="N202" s="316">
        <f>ROUND(L202*M202,2)</f>
        <v>8.1</v>
      </c>
    </row>
    <row r="203" spans="2:14" ht="20.100000000000001" customHeight="1">
      <c r="B203" s="260" t="s">
        <v>248</v>
      </c>
      <c r="D203" s="264" t="str">
        <f>IF(B203=0,0,VLOOKUP(B203,MO,2,FALSE))</f>
        <v>SERVENTE</v>
      </c>
      <c r="E203" s="53"/>
      <c r="F203" s="53"/>
      <c r="G203" s="53"/>
      <c r="H203" s="53"/>
      <c r="I203" s="36"/>
      <c r="J203" s="54"/>
      <c r="K203" s="152"/>
      <c r="L203" s="164">
        <v>2</v>
      </c>
      <c r="M203" s="263">
        <f>IF(B203=0,0,VLOOKUP(B203,MO,6,FALSE))</f>
        <v>7.9973000000000001</v>
      </c>
      <c r="N203" s="316">
        <f>ROUND(L203*M203,2)</f>
        <v>15.99</v>
      </c>
    </row>
    <row r="204" spans="2:14" ht="20.100000000000001" customHeight="1">
      <c r="B204" s="260"/>
      <c r="D204" s="52" t="s">
        <v>122</v>
      </c>
      <c r="E204" s="53"/>
      <c r="F204" s="53"/>
      <c r="G204" s="53"/>
      <c r="H204" s="53"/>
      <c r="I204" s="36"/>
      <c r="J204" s="54"/>
      <c r="K204" s="165">
        <v>0.05</v>
      </c>
      <c r="L204" s="320">
        <f>N202+N203</f>
        <v>24.09</v>
      </c>
      <c r="M204" s="164"/>
      <c r="N204" s="316">
        <f>ROUND(L204*K204,2)</f>
        <v>1.2</v>
      </c>
    </row>
    <row r="205" spans="2:14" ht="20.100000000000001" customHeight="1">
      <c r="D205" s="167"/>
      <c r="E205" s="59"/>
      <c r="F205" s="168"/>
      <c r="G205" s="168"/>
      <c r="H205" s="159"/>
      <c r="I205" s="236"/>
      <c r="J205" s="169"/>
      <c r="K205" s="162"/>
      <c r="L205" s="163"/>
      <c r="M205" s="62" t="s">
        <v>98</v>
      </c>
      <c r="N205" s="302">
        <f>SUM(N202:N204)</f>
        <v>25.29</v>
      </c>
    </row>
    <row r="206" spans="2:14" ht="3.95" customHeight="1">
      <c r="D206" s="158"/>
      <c r="E206" s="159"/>
      <c r="F206" s="159"/>
      <c r="G206" s="159"/>
      <c r="H206" s="159"/>
      <c r="I206" s="236"/>
      <c r="J206" s="169"/>
      <c r="K206" s="162"/>
      <c r="L206" s="163"/>
      <c r="M206" s="163"/>
      <c r="N206" s="300"/>
    </row>
    <row r="207" spans="2:14" ht="20.100000000000001" customHeight="1">
      <c r="D207" s="170"/>
      <c r="E207" s="168"/>
      <c r="F207" s="168"/>
      <c r="G207" s="168"/>
      <c r="H207" s="171"/>
      <c r="I207" s="237"/>
      <c r="J207" s="171"/>
      <c r="K207" s="509" t="s">
        <v>99</v>
      </c>
      <c r="L207" s="510"/>
      <c r="M207" s="511"/>
      <c r="N207" s="303">
        <f>+N199+N205</f>
        <v>202.92</v>
      </c>
    </row>
    <row r="208" spans="2:14" ht="3.95" customHeight="1">
      <c r="D208" s="172"/>
      <c r="E208" s="159"/>
      <c r="F208" s="159"/>
      <c r="G208" s="160"/>
      <c r="H208" s="159"/>
      <c r="I208" s="236"/>
      <c r="J208" s="161"/>
      <c r="K208" s="162"/>
      <c r="L208" s="163"/>
      <c r="M208" s="163"/>
      <c r="N208" s="300"/>
    </row>
    <row r="209" spans="2:14" ht="20.100000000000001" customHeight="1">
      <c r="D209" s="167"/>
      <c r="E209" s="509" t="s">
        <v>100</v>
      </c>
      <c r="F209" s="510"/>
      <c r="G209" s="510"/>
      <c r="H209" s="511"/>
      <c r="I209" s="238">
        <v>32</v>
      </c>
      <c r="J209" s="163"/>
      <c r="K209" s="506" t="s">
        <v>101</v>
      </c>
      <c r="L209" s="507"/>
      <c r="M209" s="508"/>
      <c r="N209" s="304">
        <f>ROUND(N207/I209,2)</f>
        <v>6.34</v>
      </c>
    </row>
    <row r="210" spans="2:14" ht="3.95" customHeight="1">
      <c r="D210" s="158"/>
      <c r="E210" s="159"/>
      <c r="F210" s="159"/>
      <c r="G210" s="173"/>
      <c r="H210" s="159"/>
      <c r="I210" s="163"/>
      <c r="J210" s="161"/>
      <c r="K210" s="161"/>
      <c r="L210" s="163"/>
      <c r="M210" s="161"/>
      <c r="N210" s="305"/>
    </row>
    <row r="211" spans="2:14" ht="20.100000000000001" customHeight="1">
      <c r="D211" s="49" t="s">
        <v>102</v>
      </c>
      <c r="E211" s="22"/>
      <c r="F211" s="22"/>
      <c r="G211" s="22"/>
      <c r="H211" s="22"/>
      <c r="I211" s="141"/>
      <c r="J211" s="23"/>
      <c r="K211" s="50" t="s">
        <v>103</v>
      </c>
      <c r="L211" s="51" t="s">
        <v>80</v>
      </c>
      <c r="M211" s="51" t="s">
        <v>104</v>
      </c>
      <c r="N211" s="272" t="s">
        <v>105</v>
      </c>
    </row>
    <row r="212" spans="2:14" ht="20.100000000000001" customHeight="1">
      <c r="B212" s="260"/>
      <c r="D212" s="264">
        <f>IF(B212=0,0,VLOOKUP(B212,MAT,3,FALSE))</f>
        <v>0</v>
      </c>
      <c r="E212" s="53"/>
      <c r="F212" s="53"/>
      <c r="G212" s="53"/>
      <c r="H212" s="53"/>
      <c r="I212" s="36"/>
      <c r="J212" s="54"/>
      <c r="K212" s="262">
        <f>IF(B212=0,0,VLOOKUP(B212,MAT,5,FALSE))</f>
        <v>0</v>
      </c>
      <c r="L212" s="267">
        <f>IF(B212=0,0,VLOOKUP(B212,MAT,6,FALSE))</f>
        <v>0</v>
      </c>
      <c r="M212" s="174"/>
      <c r="N212" s="316">
        <f>ROUND(L212*M212,2)</f>
        <v>0</v>
      </c>
    </row>
    <row r="213" spans="2:14" ht="20.100000000000001" customHeight="1">
      <c r="B213" s="260"/>
      <c r="D213" s="264">
        <f>IF(B213=0,0,VLOOKUP(B213,MAT,3,FALSE))</f>
        <v>0</v>
      </c>
      <c r="E213" s="53"/>
      <c r="F213" s="53"/>
      <c r="G213" s="53"/>
      <c r="H213" s="53"/>
      <c r="I213" s="36"/>
      <c r="J213" s="54"/>
      <c r="K213" s="262">
        <f>IF(B213=0,0,VLOOKUP(B213,MAT,5,FALSE))</f>
        <v>0</v>
      </c>
      <c r="L213" s="267">
        <f>IF(B213=0,0,VLOOKUP(B213,MAT,6,FALSE))</f>
        <v>0</v>
      </c>
      <c r="M213" s="174"/>
      <c r="N213" s="316">
        <f>ROUND(L213*M213,2)</f>
        <v>0</v>
      </c>
    </row>
    <row r="214" spans="2:14" ht="20.100000000000001" customHeight="1">
      <c r="B214" s="260"/>
      <c r="D214" s="264">
        <f>IF(B214=0,0,VLOOKUP(B214,MAT,3,FALSE))</f>
        <v>0</v>
      </c>
      <c r="E214" s="53"/>
      <c r="F214" s="53"/>
      <c r="G214" s="53"/>
      <c r="H214" s="53"/>
      <c r="I214" s="36"/>
      <c r="J214" s="54"/>
      <c r="K214" s="262">
        <f>IF(B214=0,0,VLOOKUP(B214,MAT,5,FALSE))</f>
        <v>0</v>
      </c>
      <c r="L214" s="267">
        <f>IF(B214=0,0,VLOOKUP(B214,MAT,6,FALSE))</f>
        <v>0</v>
      </c>
      <c r="M214" s="174"/>
      <c r="N214" s="316">
        <f>ROUND(L214*M214,2)</f>
        <v>0</v>
      </c>
    </row>
    <row r="215" spans="2:14" ht="20.100000000000001" customHeight="1">
      <c r="D215" s="158"/>
      <c r="E215" s="159"/>
      <c r="F215" s="159"/>
      <c r="G215" s="173"/>
      <c r="H215" s="159"/>
      <c r="I215" s="163"/>
      <c r="J215" s="161"/>
      <c r="K215" s="161"/>
      <c r="L215" s="163"/>
      <c r="M215" s="71" t="s">
        <v>106</v>
      </c>
      <c r="N215" s="437">
        <f>SUM(N212:N214)</f>
        <v>0</v>
      </c>
    </row>
    <row r="216" spans="2:14" ht="20.100000000000001" customHeight="1">
      <c r="D216" s="158"/>
      <c r="E216" s="159"/>
      <c r="F216" s="159"/>
      <c r="G216" s="173"/>
      <c r="H216" s="159"/>
      <c r="I216" s="163"/>
      <c r="J216" s="161"/>
      <c r="K216" s="161"/>
      <c r="L216" s="163"/>
      <c r="M216" s="161"/>
      <c r="N216" s="305"/>
    </row>
    <row r="217" spans="2:14" ht="20.100000000000001" customHeight="1">
      <c r="D217" s="527" t="s">
        <v>107</v>
      </c>
      <c r="E217" s="72" t="s">
        <v>2</v>
      </c>
      <c r="F217" s="73"/>
      <c r="G217" s="73"/>
      <c r="H217" s="74"/>
      <c r="I217" s="498" t="s">
        <v>108</v>
      </c>
      <c r="J217" s="499"/>
      <c r="K217" s="531" t="s">
        <v>103</v>
      </c>
      <c r="L217" s="514" t="s">
        <v>80</v>
      </c>
      <c r="M217" s="531" t="s">
        <v>109</v>
      </c>
      <c r="N217" s="529" t="s">
        <v>105</v>
      </c>
    </row>
    <row r="218" spans="2:14" ht="20.100000000000001" customHeight="1">
      <c r="D218" s="528"/>
      <c r="E218" s="512" t="s">
        <v>110</v>
      </c>
      <c r="F218" s="513"/>
      <c r="G218" s="512" t="s">
        <v>111</v>
      </c>
      <c r="H218" s="513"/>
      <c r="I218" s="500"/>
      <c r="J218" s="501"/>
      <c r="K218" s="532"/>
      <c r="L218" s="515"/>
      <c r="M218" s="532"/>
      <c r="N218" s="530"/>
    </row>
    <row r="219" spans="2:14" ht="20.100000000000001" customHeight="1">
      <c r="B219" s="260"/>
      <c r="D219" s="261">
        <f>IF(B219=0,0,VLOOKUP(B219,TRANS,3,FALSE))</f>
        <v>0</v>
      </c>
      <c r="E219" s="581">
        <f>IF(B219=0,0,VLOOKUP(B219,TRANS,5,FALSE))</f>
        <v>0</v>
      </c>
      <c r="F219" s="582"/>
      <c r="G219" s="502"/>
      <c r="H219" s="503"/>
      <c r="I219" s="533"/>
      <c r="J219" s="534">
        <v>50</v>
      </c>
      <c r="K219" s="262">
        <f>IF(B219=0,0,VLOOKUP(B219,TRANS,4,FALSE))</f>
        <v>0</v>
      </c>
      <c r="L219" s="387">
        <f>E219*I219</f>
        <v>0</v>
      </c>
      <c r="M219" s="70"/>
      <c r="N219" s="317">
        <f>ROUND(L219*M219,2)</f>
        <v>0</v>
      </c>
    </row>
    <row r="220" spans="2:14" ht="20.100000000000001" customHeight="1">
      <c r="B220" s="260"/>
      <c r="D220" s="261"/>
      <c r="E220" s="504"/>
      <c r="F220" s="505"/>
      <c r="G220" s="502"/>
      <c r="H220" s="503"/>
      <c r="I220" s="533"/>
      <c r="J220" s="534"/>
      <c r="K220" s="66"/>
      <c r="L220" s="67"/>
      <c r="M220" s="70"/>
      <c r="N220" s="278"/>
    </row>
    <row r="221" spans="2:14" ht="20.100000000000001" customHeight="1">
      <c r="D221" s="175"/>
      <c r="E221" s="176"/>
      <c r="F221" s="159"/>
      <c r="G221" s="173"/>
      <c r="H221" s="159"/>
      <c r="I221" s="163"/>
      <c r="J221" s="161"/>
      <c r="K221" s="161"/>
      <c r="L221" s="163"/>
      <c r="M221" s="71" t="s">
        <v>112</v>
      </c>
      <c r="N221" s="437">
        <f>SUM(N219:N220)</f>
        <v>0</v>
      </c>
    </row>
    <row r="222" spans="2:14" ht="3.95" customHeight="1" thickBot="1">
      <c r="D222" s="175"/>
      <c r="E222" s="159"/>
      <c r="F222" s="173"/>
      <c r="G222" s="159"/>
      <c r="H222" s="161"/>
      <c r="I222" s="163"/>
      <c r="J222" s="161"/>
      <c r="K222" s="161"/>
      <c r="L222" s="163"/>
      <c r="M222" s="161"/>
      <c r="N222" s="305"/>
    </row>
    <row r="223" spans="2:14" ht="20.100000000000001" customHeight="1">
      <c r="D223" s="177"/>
      <c r="E223" s="178"/>
      <c r="F223" s="178"/>
      <c r="G223" s="178"/>
      <c r="H223" s="179"/>
      <c r="I223" s="239"/>
      <c r="J223" s="127" t="s">
        <v>114</v>
      </c>
      <c r="K223" s="128"/>
      <c r="L223" s="306"/>
      <c r="M223" s="129">
        <v>0</v>
      </c>
      <c r="N223" s="447">
        <f>(+$N209+$N215+$N221)*M223</f>
        <v>0</v>
      </c>
    </row>
    <row r="224" spans="2:14" ht="20.100000000000001" customHeight="1" thickBot="1">
      <c r="D224" s="180"/>
      <c r="E224" s="181"/>
      <c r="F224" s="181"/>
      <c r="G224" s="181"/>
      <c r="H224" s="181"/>
      <c r="I224" s="240"/>
      <c r="J224" s="537" t="s">
        <v>149</v>
      </c>
      <c r="K224" s="538"/>
      <c r="L224" s="538"/>
      <c r="M224" s="538"/>
      <c r="N224" s="308">
        <f>+$N209+$N215+$N221+N223</f>
        <v>6.34</v>
      </c>
    </row>
    <row r="225" spans="2:21" ht="20.100000000000001" customHeight="1" thickBot="1">
      <c r="D225" s="182"/>
      <c r="E225" s="183"/>
      <c r="F225" s="183"/>
      <c r="G225" s="183"/>
      <c r="H225" s="183"/>
      <c r="I225" s="241"/>
      <c r="J225" s="184" t="s">
        <v>158</v>
      </c>
      <c r="K225" s="185"/>
      <c r="L225" s="309"/>
      <c r="M225" s="186">
        <v>0</v>
      </c>
      <c r="N225" s="310">
        <f>(M225*N224)+N224</f>
        <v>6.34</v>
      </c>
      <c r="O225" s="210"/>
      <c r="P225" s="16">
        <v>48.42</v>
      </c>
      <c r="R225" s="90">
        <f>(N225/P225)-1</f>
        <v>-0.86906237092110694</v>
      </c>
    </row>
    <row r="228" spans="2:21" ht="20.100000000000001" customHeight="1" thickBot="1"/>
    <row r="229" spans="2:21" ht="20.100000000000001" customHeight="1">
      <c r="D229" s="598" t="s">
        <v>314</v>
      </c>
      <c r="E229" s="599"/>
      <c r="F229" s="524" t="s">
        <v>74</v>
      </c>
      <c r="G229" s="525"/>
      <c r="H229" s="525"/>
      <c r="I229" s="525"/>
      <c r="J229" s="525"/>
      <c r="K229" s="525"/>
      <c r="L229" s="526"/>
      <c r="M229" s="19" t="s">
        <v>75</v>
      </c>
      <c r="N229" s="20" t="s">
        <v>76</v>
      </c>
      <c r="U229" s="132">
        <f>N266</f>
        <v>0.41</v>
      </c>
    </row>
    <row r="230" spans="2:21" ht="20.100000000000001" customHeight="1">
      <c r="D230" s="600"/>
      <c r="E230" s="601"/>
      <c r="F230" s="512" t="s">
        <v>406</v>
      </c>
      <c r="G230" s="519"/>
      <c r="H230" s="519"/>
      <c r="I230" s="519"/>
      <c r="J230" s="519"/>
      <c r="K230" s="519"/>
      <c r="L230" s="513"/>
      <c r="M230" s="24" t="s">
        <v>5</v>
      </c>
      <c r="N230" s="25">
        <f>DATA</f>
        <v>41214</v>
      </c>
    </row>
    <row r="231" spans="2:21" ht="20.100000000000001" customHeight="1">
      <c r="D231" s="26" t="s">
        <v>77</v>
      </c>
      <c r="E231" s="27"/>
      <c r="F231" s="27"/>
      <c r="G231" s="27"/>
      <c r="H231" s="28"/>
      <c r="I231" s="214" t="s">
        <v>78</v>
      </c>
      <c r="J231" s="509" t="s">
        <v>79</v>
      </c>
      <c r="K231" s="511"/>
      <c r="L231" s="535" t="s">
        <v>80</v>
      </c>
      <c r="M231" s="536"/>
      <c r="N231" s="516" t="s">
        <v>81</v>
      </c>
    </row>
    <row r="232" spans="2:21" ht="20.100000000000001" customHeight="1">
      <c r="D232" s="31"/>
      <c r="E232" s="32"/>
      <c r="F232" s="32"/>
      <c r="G232" s="32"/>
      <c r="H232" s="33"/>
      <c r="I232" s="34"/>
      <c r="J232" s="51" t="s">
        <v>82</v>
      </c>
      <c r="K232" s="51" t="s">
        <v>83</v>
      </c>
      <c r="L232" s="51" t="s">
        <v>82</v>
      </c>
      <c r="M232" s="51" t="s">
        <v>84</v>
      </c>
      <c r="N232" s="517"/>
    </row>
    <row r="233" spans="2:21" ht="20.100000000000001" customHeight="1">
      <c r="B233" s="260" t="s">
        <v>399</v>
      </c>
      <c r="D233" s="264" t="str">
        <f t="shared" ref="D233:D239" si="21">IF(B233=0,0,VLOOKUP(B233,EQUIP,3,FALSE))</f>
        <v>TRATOR DE ESTEIRAS - COM LÂMINA (82 KW)</v>
      </c>
      <c r="E233" s="265"/>
      <c r="F233" s="265"/>
      <c r="G233" s="265"/>
      <c r="H233" s="266"/>
      <c r="I233" s="318">
        <v>1</v>
      </c>
      <c r="J233" s="318">
        <v>1</v>
      </c>
      <c r="K233" s="318">
        <f>1-J233</f>
        <v>0</v>
      </c>
      <c r="L233" s="318">
        <f t="shared" ref="L233:L239" si="22">IF(B233=0,0,VLOOKUP(B233,EQUIP,6,FALSE))</f>
        <v>177.63</v>
      </c>
      <c r="M233" s="318">
        <f t="shared" ref="M233:M239" si="23">IF(B233=0,0,VLOOKUP(B233,EQUIP,7,FALSE))</f>
        <v>22.39</v>
      </c>
      <c r="N233" s="319">
        <f t="shared" ref="N233:N239" si="24">ROUND(I233*J233*L233+I233*K233*M233,2)</f>
        <v>177.63</v>
      </c>
    </row>
    <row r="234" spans="2:21" ht="20.100000000000001" customHeight="1">
      <c r="B234" s="260"/>
      <c r="D234" s="264">
        <f t="shared" si="21"/>
        <v>0</v>
      </c>
      <c r="E234" s="265"/>
      <c r="F234" s="265"/>
      <c r="G234" s="265"/>
      <c r="H234" s="266"/>
      <c r="I234" s="263"/>
      <c r="J234" s="263"/>
      <c r="K234" s="318"/>
      <c r="L234" s="318">
        <f t="shared" si="22"/>
        <v>0</v>
      </c>
      <c r="M234" s="318">
        <f t="shared" si="23"/>
        <v>0</v>
      </c>
      <c r="N234" s="319">
        <f t="shared" si="24"/>
        <v>0</v>
      </c>
    </row>
    <row r="235" spans="2:21" ht="20.100000000000001" customHeight="1">
      <c r="B235" s="260"/>
      <c r="D235" s="264">
        <f t="shared" si="21"/>
        <v>0</v>
      </c>
      <c r="E235" s="265"/>
      <c r="F235" s="265"/>
      <c r="G235" s="265"/>
      <c r="H235" s="266"/>
      <c r="I235" s="318"/>
      <c r="J235" s="318"/>
      <c r="K235" s="318"/>
      <c r="L235" s="318">
        <f t="shared" si="22"/>
        <v>0</v>
      </c>
      <c r="M235" s="318">
        <f t="shared" si="23"/>
        <v>0</v>
      </c>
      <c r="N235" s="319">
        <f t="shared" si="24"/>
        <v>0</v>
      </c>
    </row>
    <row r="236" spans="2:21" ht="20.100000000000001" customHeight="1">
      <c r="B236" s="260"/>
      <c r="D236" s="264">
        <f t="shared" si="21"/>
        <v>0</v>
      </c>
      <c r="E236" s="265"/>
      <c r="F236" s="265"/>
      <c r="G236" s="265"/>
      <c r="H236" s="266"/>
      <c r="I236" s="263"/>
      <c r="J236" s="263"/>
      <c r="K236" s="318"/>
      <c r="L236" s="318">
        <f t="shared" si="22"/>
        <v>0</v>
      </c>
      <c r="M236" s="318">
        <f t="shared" si="23"/>
        <v>0</v>
      </c>
      <c r="N236" s="319">
        <f t="shared" si="24"/>
        <v>0</v>
      </c>
    </row>
    <row r="237" spans="2:21" ht="20.100000000000001" customHeight="1">
      <c r="B237" s="260"/>
      <c r="D237" s="264">
        <f t="shared" si="21"/>
        <v>0</v>
      </c>
      <c r="E237" s="265"/>
      <c r="F237" s="265"/>
      <c r="G237" s="265"/>
      <c r="H237" s="266"/>
      <c r="I237" s="263"/>
      <c r="J237" s="263"/>
      <c r="K237" s="318"/>
      <c r="L237" s="318">
        <f t="shared" si="22"/>
        <v>0</v>
      </c>
      <c r="M237" s="318">
        <f t="shared" si="23"/>
        <v>0</v>
      </c>
      <c r="N237" s="319">
        <f t="shared" si="24"/>
        <v>0</v>
      </c>
    </row>
    <row r="238" spans="2:21" ht="20.100000000000001" customHeight="1">
      <c r="B238" s="260"/>
      <c r="D238" s="264">
        <f t="shared" si="21"/>
        <v>0</v>
      </c>
      <c r="E238" s="265"/>
      <c r="F238" s="265"/>
      <c r="G238" s="265"/>
      <c r="H238" s="266"/>
      <c r="I238" s="263"/>
      <c r="J238" s="318"/>
      <c r="K238" s="318"/>
      <c r="L238" s="318">
        <f t="shared" si="22"/>
        <v>0</v>
      </c>
      <c r="M238" s="318">
        <f t="shared" si="23"/>
        <v>0</v>
      </c>
      <c r="N238" s="319">
        <f t="shared" si="24"/>
        <v>0</v>
      </c>
    </row>
    <row r="239" spans="2:21" ht="20.100000000000001" customHeight="1">
      <c r="B239" s="260"/>
      <c r="D239" s="264">
        <f t="shared" si="21"/>
        <v>0</v>
      </c>
      <c r="E239" s="265"/>
      <c r="F239" s="265"/>
      <c r="G239" s="265"/>
      <c r="H239" s="266"/>
      <c r="I239" s="263"/>
      <c r="J239" s="318"/>
      <c r="K239" s="318"/>
      <c r="L239" s="318">
        <f t="shared" si="22"/>
        <v>0</v>
      </c>
      <c r="M239" s="318">
        <f t="shared" si="23"/>
        <v>0</v>
      </c>
      <c r="N239" s="319">
        <f t="shared" si="24"/>
        <v>0</v>
      </c>
    </row>
    <row r="240" spans="2:21" ht="20.100000000000001" customHeight="1">
      <c r="D240" s="155"/>
      <c r="E240" s="156"/>
      <c r="F240" s="156"/>
      <c r="G240" s="156"/>
      <c r="H240" s="156"/>
      <c r="I240" s="235"/>
      <c r="J240" s="157"/>
      <c r="K240" s="157"/>
      <c r="L240" s="216"/>
      <c r="M240" s="42" t="s">
        <v>89</v>
      </c>
      <c r="N240" s="270">
        <f>SUM(N233:N239)</f>
        <v>177.63</v>
      </c>
    </row>
    <row r="241" spans="2:14" ht="3.95" customHeight="1">
      <c r="D241" s="158"/>
      <c r="E241" s="159"/>
      <c r="F241" s="159"/>
      <c r="G241" s="160"/>
      <c r="H241" s="159"/>
      <c r="I241" s="236"/>
      <c r="J241" s="161"/>
      <c r="K241" s="162"/>
      <c r="L241" s="163"/>
      <c r="M241" s="163"/>
      <c r="N241" s="300"/>
    </row>
    <row r="242" spans="2:14" ht="20.100000000000001" customHeight="1">
      <c r="D242" s="518" t="s">
        <v>90</v>
      </c>
      <c r="E242" s="519"/>
      <c r="F242" s="519"/>
      <c r="G242" s="519"/>
      <c r="H242" s="519"/>
      <c r="I242" s="519"/>
      <c r="J242" s="513"/>
      <c r="K242" s="50" t="s">
        <v>91</v>
      </c>
      <c r="L242" s="51" t="s">
        <v>92</v>
      </c>
      <c r="M242" s="51" t="s">
        <v>93</v>
      </c>
      <c r="N242" s="272" t="s">
        <v>94</v>
      </c>
    </row>
    <row r="243" spans="2:14" ht="20.100000000000001" customHeight="1">
      <c r="B243" s="260" t="s">
        <v>247</v>
      </c>
      <c r="D243" s="264" t="str">
        <f>IF(B243=0,0,VLOOKUP(B243,MO,2,FALSE))</f>
        <v>ENCARREGADO DE TURMA</v>
      </c>
      <c r="E243" s="53"/>
      <c r="F243" s="53"/>
      <c r="G243" s="53"/>
      <c r="H243" s="53"/>
      <c r="I243" s="36"/>
      <c r="J243" s="54"/>
      <c r="K243" s="152"/>
      <c r="L243" s="164">
        <v>0.3</v>
      </c>
      <c r="M243" s="263">
        <f>IF(B243=0,0,VLOOKUP(B243,MO,6,FALSE))</f>
        <v>27</v>
      </c>
      <c r="N243" s="316">
        <f>ROUND(L243*M243,2)</f>
        <v>8.1</v>
      </c>
    </row>
    <row r="244" spans="2:14" ht="20.100000000000001" customHeight="1">
      <c r="B244" s="260" t="s">
        <v>248</v>
      </c>
      <c r="D244" s="264" t="str">
        <f>IF(B244=0,0,VLOOKUP(B244,MO,2,FALSE))</f>
        <v>SERVENTE</v>
      </c>
      <c r="E244" s="53"/>
      <c r="F244" s="53"/>
      <c r="G244" s="53"/>
      <c r="H244" s="53"/>
      <c r="I244" s="36"/>
      <c r="J244" s="54"/>
      <c r="K244" s="152"/>
      <c r="L244" s="164">
        <v>2</v>
      </c>
      <c r="M244" s="263">
        <f>IF(B244=0,0,VLOOKUP(B244,MO,6,FALSE))</f>
        <v>7.9973000000000001</v>
      </c>
      <c r="N244" s="316">
        <f>ROUND(L244*M244,2)</f>
        <v>15.99</v>
      </c>
    </row>
    <row r="245" spans="2:14" ht="20.100000000000001" customHeight="1">
      <c r="B245" s="260"/>
      <c r="D245" s="52" t="s">
        <v>122</v>
      </c>
      <c r="E245" s="53"/>
      <c r="F245" s="53"/>
      <c r="G245" s="53"/>
      <c r="H245" s="53"/>
      <c r="I245" s="36"/>
      <c r="J245" s="54"/>
      <c r="K245" s="165">
        <v>0.05</v>
      </c>
      <c r="L245" s="320">
        <f>N243+N244</f>
        <v>24.09</v>
      </c>
      <c r="M245" s="164"/>
      <c r="N245" s="316">
        <f>ROUND(L245*K245,2)</f>
        <v>1.2</v>
      </c>
    </row>
    <row r="246" spans="2:14" ht="20.100000000000001" customHeight="1">
      <c r="D246" s="167"/>
      <c r="E246" s="59"/>
      <c r="F246" s="168"/>
      <c r="G246" s="168"/>
      <c r="H246" s="159"/>
      <c r="I246" s="236"/>
      <c r="J246" s="169"/>
      <c r="K246" s="162"/>
      <c r="L246" s="163"/>
      <c r="M246" s="62" t="s">
        <v>98</v>
      </c>
      <c r="N246" s="302">
        <f>SUM(N243:N245)</f>
        <v>25.29</v>
      </c>
    </row>
    <row r="247" spans="2:14" ht="3.95" customHeight="1">
      <c r="D247" s="158"/>
      <c r="E247" s="159"/>
      <c r="F247" s="159"/>
      <c r="G247" s="159"/>
      <c r="H247" s="159"/>
      <c r="I247" s="236"/>
      <c r="J247" s="169"/>
      <c r="K247" s="162"/>
      <c r="L247" s="163"/>
      <c r="M247" s="163"/>
      <c r="N247" s="300"/>
    </row>
    <row r="248" spans="2:14" ht="20.100000000000001" customHeight="1">
      <c r="D248" s="170"/>
      <c r="E248" s="168"/>
      <c r="F248" s="168"/>
      <c r="G248" s="168"/>
      <c r="H248" s="171"/>
      <c r="I248" s="237"/>
      <c r="J248" s="171"/>
      <c r="K248" s="509" t="s">
        <v>99</v>
      </c>
      <c r="L248" s="510"/>
      <c r="M248" s="511"/>
      <c r="N248" s="303">
        <f>+N240+N246</f>
        <v>202.92</v>
      </c>
    </row>
    <row r="249" spans="2:14" ht="3.95" customHeight="1">
      <c r="D249" s="172"/>
      <c r="E249" s="159"/>
      <c r="F249" s="159"/>
      <c r="G249" s="160"/>
      <c r="H249" s="159"/>
      <c r="I249" s="236"/>
      <c r="J249" s="161"/>
      <c r="K249" s="162"/>
      <c r="L249" s="163"/>
      <c r="M249" s="163"/>
      <c r="N249" s="300"/>
    </row>
    <row r="250" spans="2:14" ht="20.100000000000001" customHeight="1">
      <c r="D250" s="167"/>
      <c r="E250" s="509" t="s">
        <v>100</v>
      </c>
      <c r="F250" s="510"/>
      <c r="G250" s="510"/>
      <c r="H250" s="511"/>
      <c r="I250" s="238">
        <v>500</v>
      </c>
      <c r="J250" s="163"/>
      <c r="K250" s="506" t="s">
        <v>101</v>
      </c>
      <c r="L250" s="507"/>
      <c r="M250" s="508"/>
      <c r="N250" s="304">
        <f>ROUND(N248/I250,2)</f>
        <v>0.41</v>
      </c>
    </row>
    <row r="251" spans="2:14" ht="3.95" customHeight="1">
      <c r="D251" s="158"/>
      <c r="E251" s="159"/>
      <c r="F251" s="159"/>
      <c r="G251" s="173"/>
      <c r="H251" s="159"/>
      <c r="I251" s="163"/>
      <c r="J251" s="161"/>
      <c r="K251" s="161"/>
      <c r="L251" s="163"/>
      <c r="M251" s="161"/>
      <c r="N251" s="305"/>
    </row>
    <row r="252" spans="2:14" ht="20.100000000000001" customHeight="1">
      <c r="D252" s="49" t="s">
        <v>102</v>
      </c>
      <c r="E252" s="22"/>
      <c r="F252" s="22"/>
      <c r="G252" s="22"/>
      <c r="H252" s="22"/>
      <c r="I252" s="141"/>
      <c r="J252" s="23"/>
      <c r="K252" s="50" t="s">
        <v>103</v>
      </c>
      <c r="L252" s="51" t="s">
        <v>80</v>
      </c>
      <c r="M252" s="51" t="s">
        <v>104</v>
      </c>
      <c r="N252" s="272" t="s">
        <v>105</v>
      </c>
    </row>
    <row r="253" spans="2:14" ht="20.100000000000001" customHeight="1">
      <c r="B253" s="260"/>
      <c r="D253" s="264">
        <f>IF(B253=0,0,VLOOKUP(B253,MAT,3,FALSE))</f>
        <v>0</v>
      </c>
      <c r="E253" s="53"/>
      <c r="F253" s="53"/>
      <c r="G253" s="53"/>
      <c r="H253" s="53"/>
      <c r="I253" s="36"/>
      <c r="J253" s="54"/>
      <c r="K253" s="262">
        <f>IF(B253=0,0,VLOOKUP(B253,MAT,5,FALSE))</f>
        <v>0</v>
      </c>
      <c r="L253" s="267">
        <f>IF(B253=0,0,VLOOKUP(B253,MAT,6,FALSE))</f>
        <v>0</v>
      </c>
      <c r="M253" s="174"/>
      <c r="N253" s="316">
        <f>ROUND(L253*M253,2)</f>
        <v>0</v>
      </c>
    </row>
    <row r="254" spans="2:14" ht="20.100000000000001" customHeight="1">
      <c r="B254" s="260"/>
      <c r="D254" s="264">
        <f>IF(B254=0,0,VLOOKUP(B254,MAT,3,FALSE))</f>
        <v>0</v>
      </c>
      <c r="E254" s="53"/>
      <c r="F254" s="53"/>
      <c r="G254" s="53"/>
      <c r="H254" s="53"/>
      <c r="I254" s="36"/>
      <c r="J254" s="54"/>
      <c r="K254" s="262">
        <f>IF(B254=0,0,VLOOKUP(B254,MAT,5,FALSE))</f>
        <v>0</v>
      </c>
      <c r="L254" s="267">
        <f>IF(B254=0,0,VLOOKUP(B254,MAT,6,FALSE))</f>
        <v>0</v>
      </c>
      <c r="M254" s="174"/>
      <c r="N254" s="316">
        <f>ROUND(L254*M254,2)</f>
        <v>0</v>
      </c>
    </row>
    <row r="255" spans="2:14" ht="20.100000000000001" customHeight="1">
      <c r="B255" s="260"/>
      <c r="D255" s="264">
        <f>IF(B255=0,0,VLOOKUP(B255,MAT,3,FALSE))</f>
        <v>0</v>
      </c>
      <c r="E255" s="53"/>
      <c r="F255" s="53"/>
      <c r="G255" s="53"/>
      <c r="H255" s="53"/>
      <c r="I255" s="36"/>
      <c r="J255" s="54"/>
      <c r="K255" s="262">
        <f>IF(B255=0,0,VLOOKUP(B255,MAT,5,FALSE))</f>
        <v>0</v>
      </c>
      <c r="L255" s="267">
        <f>IF(B255=0,0,VLOOKUP(B255,MAT,6,FALSE))</f>
        <v>0</v>
      </c>
      <c r="M255" s="174"/>
      <c r="N255" s="316">
        <f>ROUND(L255*M255,2)</f>
        <v>0</v>
      </c>
    </row>
    <row r="256" spans="2:14" ht="20.100000000000001" customHeight="1">
      <c r="D256" s="158"/>
      <c r="E256" s="159"/>
      <c r="F256" s="159"/>
      <c r="G256" s="173"/>
      <c r="H256" s="159"/>
      <c r="I256" s="163"/>
      <c r="J256" s="161"/>
      <c r="K256" s="161"/>
      <c r="L256" s="163"/>
      <c r="M256" s="71" t="s">
        <v>106</v>
      </c>
      <c r="N256" s="437">
        <f>SUM(N253:N255)</f>
        <v>0</v>
      </c>
    </row>
    <row r="257" spans="2:21" ht="20.100000000000001" customHeight="1">
      <c r="D257" s="158"/>
      <c r="E257" s="159"/>
      <c r="F257" s="159"/>
      <c r="G257" s="173"/>
      <c r="H257" s="159"/>
      <c r="I257" s="163"/>
      <c r="J257" s="161"/>
      <c r="K257" s="161"/>
      <c r="L257" s="163"/>
      <c r="M257" s="161"/>
      <c r="N257" s="305"/>
    </row>
    <row r="258" spans="2:21" ht="20.100000000000001" customHeight="1">
      <c r="D258" s="527" t="s">
        <v>107</v>
      </c>
      <c r="E258" s="72" t="s">
        <v>2</v>
      </c>
      <c r="F258" s="73"/>
      <c r="G258" s="73"/>
      <c r="H258" s="74"/>
      <c r="I258" s="498" t="s">
        <v>108</v>
      </c>
      <c r="J258" s="499"/>
      <c r="K258" s="531" t="s">
        <v>103</v>
      </c>
      <c r="L258" s="514" t="s">
        <v>80</v>
      </c>
      <c r="M258" s="531" t="s">
        <v>109</v>
      </c>
      <c r="N258" s="529" t="s">
        <v>105</v>
      </c>
    </row>
    <row r="259" spans="2:21" ht="20.100000000000001" customHeight="1">
      <c r="D259" s="528"/>
      <c r="E259" s="512" t="s">
        <v>110</v>
      </c>
      <c r="F259" s="513"/>
      <c r="G259" s="512" t="s">
        <v>111</v>
      </c>
      <c r="H259" s="513"/>
      <c r="I259" s="500"/>
      <c r="J259" s="501"/>
      <c r="K259" s="532"/>
      <c r="L259" s="515"/>
      <c r="M259" s="532"/>
      <c r="N259" s="530"/>
    </row>
    <row r="260" spans="2:21" ht="20.100000000000001" customHeight="1">
      <c r="B260" s="260"/>
      <c r="D260" s="261">
        <f>IF(B260=0,0,VLOOKUP(B260,TRANS,3,FALSE))</f>
        <v>0</v>
      </c>
      <c r="E260" s="581">
        <f>IF(B260=0,0,VLOOKUP(B260,TRANS,5,FALSE))</f>
        <v>0</v>
      </c>
      <c r="F260" s="582"/>
      <c r="G260" s="502"/>
      <c r="H260" s="503"/>
      <c r="I260" s="533"/>
      <c r="J260" s="534">
        <v>50</v>
      </c>
      <c r="K260" s="262">
        <f>IF(B260=0,0,VLOOKUP(B260,TRANS,4,FALSE))</f>
        <v>0</v>
      </c>
      <c r="L260" s="387">
        <f>E260*I260</f>
        <v>0</v>
      </c>
      <c r="M260" s="70"/>
      <c r="N260" s="317">
        <f>ROUND(L260*M260,2)</f>
        <v>0</v>
      </c>
    </row>
    <row r="261" spans="2:21" ht="20.100000000000001" customHeight="1">
      <c r="B261" s="260"/>
      <c r="D261" s="261"/>
      <c r="E261" s="504"/>
      <c r="F261" s="505"/>
      <c r="G261" s="502"/>
      <c r="H261" s="503"/>
      <c r="I261" s="533"/>
      <c r="J261" s="534"/>
      <c r="K261" s="66"/>
      <c r="L261" s="67"/>
      <c r="M261" s="70"/>
      <c r="N261" s="278"/>
    </row>
    <row r="262" spans="2:21" ht="20.100000000000001" customHeight="1">
      <c r="D262" s="175"/>
      <c r="E262" s="176"/>
      <c r="F262" s="159"/>
      <c r="G262" s="173"/>
      <c r="H262" s="159"/>
      <c r="I262" s="163"/>
      <c r="J262" s="161"/>
      <c r="K262" s="161"/>
      <c r="L262" s="163"/>
      <c r="M262" s="71" t="s">
        <v>112</v>
      </c>
      <c r="N262" s="437">
        <f>SUM(N260:N261)</f>
        <v>0</v>
      </c>
    </row>
    <row r="263" spans="2:21" ht="3.95" customHeight="1" thickBot="1">
      <c r="D263" s="175"/>
      <c r="E263" s="159"/>
      <c r="F263" s="173"/>
      <c r="G263" s="159"/>
      <c r="H263" s="161"/>
      <c r="I263" s="163"/>
      <c r="J263" s="161"/>
      <c r="K263" s="161"/>
      <c r="L263" s="163"/>
      <c r="M263" s="161"/>
      <c r="N263" s="305"/>
    </row>
    <row r="264" spans="2:21" ht="20.100000000000001" customHeight="1">
      <c r="D264" s="177"/>
      <c r="E264" s="178"/>
      <c r="F264" s="178"/>
      <c r="G264" s="178"/>
      <c r="H264" s="179"/>
      <c r="I264" s="239"/>
      <c r="J264" s="127" t="s">
        <v>114</v>
      </c>
      <c r="K264" s="128"/>
      <c r="L264" s="306"/>
      <c r="M264" s="129">
        <v>0</v>
      </c>
      <c r="N264" s="447">
        <f>(+$N250+$N256+$N262)*M264</f>
        <v>0</v>
      </c>
    </row>
    <row r="265" spans="2:21" ht="20.100000000000001" customHeight="1" thickBot="1">
      <c r="D265" s="180"/>
      <c r="E265" s="181"/>
      <c r="F265" s="181"/>
      <c r="G265" s="181"/>
      <c r="H265" s="181"/>
      <c r="I265" s="240"/>
      <c r="J265" s="537" t="s">
        <v>149</v>
      </c>
      <c r="K265" s="538"/>
      <c r="L265" s="538"/>
      <c r="M265" s="538"/>
      <c r="N265" s="308">
        <f>+$N250+$N256+$N262+N264</f>
        <v>0.41</v>
      </c>
    </row>
    <row r="266" spans="2:21" ht="20.100000000000001" customHeight="1" thickBot="1">
      <c r="D266" s="182"/>
      <c r="E266" s="183"/>
      <c r="F266" s="183"/>
      <c r="G266" s="183"/>
      <c r="H266" s="183"/>
      <c r="I266" s="241"/>
      <c r="J266" s="184" t="s">
        <v>158</v>
      </c>
      <c r="K266" s="185"/>
      <c r="L266" s="309"/>
      <c r="M266" s="186">
        <v>0</v>
      </c>
      <c r="N266" s="310">
        <f>(M266*N265)+N265</f>
        <v>0.41</v>
      </c>
      <c r="O266" s="210"/>
      <c r="P266" s="16">
        <v>48.42</v>
      </c>
      <c r="R266" s="90">
        <f>(N266/P266)-1</f>
        <v>-0.99153242461792646</v>
      </c>
    </row>
    <row r="269" spans="2:21" ht="20.100000000000001" customHeight="1" thickBot="1"/>
    <row r="270" spans="2:21" ht="20.100000000000001" customHeight="1">
      <c r="D270" s="598" t="s">
        <v>317</v>
      </c>
      <c r="E270" s="599"/>
      <c r="F270" s="524" t="s">
        <v>74</v>
      </c>
      <c r="G270" s="525"/>
      <c r="H270" s="525"/>
      <c r="I270" s="525"/>
      <c r="J270" s="525"/>
      <c r="K270" s="525"/>
      <c r="L270" s="526"/>
      <c r="M270" s="19" t="s">
        <v>75</v>
      </c>
      <c r="N270" s="20" t="s">
        <v>76</v>
      </c>
      <c r="U270" s="132">
        <f>N307</f>
        <v>37.880000000000003</v>
      </c>
    </row>
    <row r="271" spans="2:21" ht="20.100000000000001" customHeight="1">
      <c r="D271" s="600"/>
      <c r="E271" s="601"/>
      <c r="F271" s="512" t="s">
        <v>178</v>
      </c>
      <c r="G271" s="519"/>
      <c r="H271" s="519"/>
      <c r="I271" s="519"/>
      <c r="J271" s="519"/>
      <c r="K271" s="519"/>
      <c r="L271" s="513"/>
      <c r="M271" s="24" t="s">
        <v>5</v>
      </c>
      <c r="N271" s="25">
        <f>DATA</f>
        <v>41214</v>
      </c>
    </row>
    <row r="272" spans="2:21" ht="20.100000000000001" customHeight="1">
      <c r="D272" s="26" t="s">
        <v>77</v>
      </c>
      <c r="E272" s="27"/>
      <c r="F272" s="27"/>
      <c r="G272" s="27"/>
      <c r="H272" s="28"/>
      <c r="I272" s="214" t="s">
        <v>78</v>
      </c>
      <c r="J272" s="509" t="s">
        <v>79</v>
      </c>
      <c r="K272" s="511"/>
      <c r="L272" s="535" t="s">
        <v>80</v>
      </c>
      <c r="M272" s="536"/>
      <c r="N272" s="516" t="s">
        <v>81</v>
      </c>
    </row>
    <row r="273" spans="2:14" ht="20.100000000000001" customHeight="1">
      <c r="D273" s="31"/>
      <c r="E273" s="32"/>
      <c r="F273" s="32"/>
      <c r="G273" s="32"/>
      <c r="H273" s="33"/>
      <c r="I273" s="34"/>
      <c r="J273" s="51" t="s">
        <v>82</v>
      </c>
      <c r="K273" s="51" t="s">
        <v>83</v>
      </c>
      <c r="L273" s="51" t="s">
        <v>82</v>
      </c>
      <c r="M273" s="51" t="s">
        <v>84</v>
      </c>
      <c r="N273" s="517"/>
    </row>
    <row r="274" spans="2:14" ht="20.100000000000001" customHeight="1">
      <c r="B274" s="260"/>
      <c r="D274" s="264">
        <f t="shared" ref="D274:D280" si="25">IF(B274=0,0,VLOOKUP(B274,EQUIP,3,FALSE))</f>
        <v>0</v>
      </c>
      <c r="E274" s="265"/>
      <c r="F274" s="265"/>
      <c r="G274" s="265"/>
      <c r="H274" s="266"/>
      <c r="I274" s="318"/>
      <c r="J274" s="318"/>
      <c r="K274" s="318"/>
      <c r="L274" s="318">
        <f t="shared" ref="L274:L280" si="26">IF(B274=0,0,VLOOKUP(B274,EQUIP,6,FALSE))</f>
        <v>0</v>
      </c>
      <c r="M274" s="318">
        <f t="shared" ref="M274:M280" si="27">IF(B274=0,0,VLOOKUP(B274,EQUIP,7,FALSE))</f>
        <v>0</v>
      </c>
      <c r="N274" s="319">
        <f t="shared" ref="N274:N280" si="28">ROUND(I274*J274*L274+I274*K274*M274,2)</f>
        <v>0</v>
      </c>
    </row>
    <row r="275" spans="2:14" ht="20.100000000000001" customHeight="1">
      <c r="B275" s="260"/>
      <c r="D275" s="264">
        <f t="shared" si="25"/>
        <v>0</v>
      </c>
      <c r="E275" s="265"/>
      <c r="F275" s="265"/>
      <c r="G275" s="265"/>
      <c r="H275" s="266"/>
      <c r="I275" s="263"/>
      <c r="J275" s="263"/>
      <c r="K275" s="263"/>
      <c r="L275" s="318">
        <f t="shared" si="26"/>
        <v>0</v>
      </c>
      <c r="M275" s="318">
        <f t="shared" si="27"/>
        <v>0</v>
      </c>
      <c r="N275" s="319">
        <f t="shared" si="28"/>
        <v>0</v>
      </c>
    </row>
    <row r="276" spans="2:14" ht="20.100000000000001" customHeight="1">
      <c r="B276" s="260"/>
      <c r="D276" s="264">
        <f t="shared" si="25"/>
        <v>0</v>
      </c>
      <c r="E276" s="265"/>
      <c r="F276" s="265"/>
      <c r="G276" s="265"/>
      <c r="H276" s="266"/>
      <c r="I276" s="318"/>
      <c r="J276" s="318"/>
      <c r="K276" s="318"/>
      <c r="L276" s="318">
        <f t="shared" si="26"/>
        <v>0</v>
      </c>
      <c r="M276" s="318">
        <f t="shared" si="27"/>
        <v>0</v>
      </c>
      <c r="N276" s="319">
        <f t="shared" si="28"/>
        <v>0</v>
      </c>
    </row>
    <row r="277" spans="2:14" ht="20.100000000000001" customHeight="1">
      <c r="B277" s="260"/>
      <c r="D277" s="264">
        <f t="shared" si="25"/>
        <v>0</v>
      </c>
      <c r="E277" s="265"/>
      <c r="F277" s="265"/>
      <c r="G277" s="265"/>
      <c r="H277" s="266"/>
      <c r="I277" s="263"/>
      <c r="J277" s="263"/>
      <c r="K277" s="263"/>
      <c r="L277" s="318">
        <f t="shared" si="26"/>
        <v>0</v>
      </c>
      <c r="M277" s="318">
        <f t="shared" si="27"/>
        <v>0</v>
      </c>
      <c r="N277" s="319">
        <f t="shared" si="28"/>
        <v>0</v>
      </c>
    </row>
    <row r="278" spans="2:14" ht="20.100000000000001" customHeight="1">
      <c r="B278" s="260"/>
      <c r="D278" s="264">
        <f t="shared" si="25"/>
        <v>0</v>
      </c>
      <c r="E278" s="265"/>
      <c r="F278" s="265"/>
      <c r="G278" s="265"/>
      <c r="H278" s="266"/>
      <c r="I278" s="263"/>
      <c r="J278" s="263"/>
      <c r="K278" s="263"/>
      <c r="L278" s="318">
        <f t="shared" si="26"/>
        <v>0</v>
      </c>
      <c r="M278" s="318">
        <f t="shared" si="27"/>
        <v>0</v>
      </c>
      <c r="N278" s="319">
        <f t="shared" si="28"/>
        <v>0</v>
      </c>
    </row>
    <row r="279" spans="2:14" ht="20.100000000000001" customHeight="1">
      <c r="B279" s="260"/>
      <c r="D279" s="264">
        <f t="shared" si="25"/>
        <v>0</v>
      </c>
      <c r="E279" s="265"/>
      <c r="F279" s="265"/>
      <c r="G279" s="265"/>
      <c r="H279" s="266"/>
      <c r="I279" s="263"/>
      <c r="J279" s="318"/>
      <c r="K279" s="318"/>
      <c r="L279" s="318">
        <f t="shared" si="26"/>
        <v>0</v>
      </c>
      <c r="M279" s="318">
        <f t="shared" si="27"/>
        <v>0</v>
      </c>
      <c r="N279" s="319">
        <f t="shared" si="28"/>
        <v>0</v>
      </c>
    </row>
    <row r="280" spans="2:14" ht="20.100000000000001" customHeight="1">
      <c r="B280" s="260"/>
      <c r="D280" s="264">
        <f t="shared" si="25"/>
        <v>0</v>
      </c>
      <c r="E280" s="265"/>
      <c r="F280" s="265"/>
      <c r="G280" s="265"/>
      <c r="H280" s="266"/>
      <c r="I280" s="263"/>
      <c r="J280" s="318"/>
      <c r="K280" s="318"/>
      <c r="L280" s="318">
        <f t="shared" si="26"/>
        <v>0</v>
      </c>
      <c r="M280" s="318">
        <f t="shared" si="27"/>
        <v>0</v>
      </c>
      <c r="N280" s="319">
        <f t="shared" si="28"/>
        <v>0</v>
      </c>
    </row>
    <row r="281" spans="2:14" ht="20.100000000000001" customHeight="1">
      <c r="D281" s="155"/>
      <c r="E281" s="156"/>
      <c r="F281" s="156"/>
      <c r="G281" s="156"/>
      <c r="H281" s="156"/>
      <c r="I281" s="235"/>
      <c r="J281" s="157"/>
      <c r="K281" s="157"/>
      <c r="L281" s="216"/>
      <c r="M281" s="42" t="s">
        <v>89</v>
      </c>
      <c r="N281" s="441">
        <f>SUM(N274:N280)</f>
        <v>0</v>
      </c>
    </row>
    <row r="282" spans="2:14" ht="3.95" customHeight="1">
      <c r="D282" s="158"/>
      <c r="E282" s="159"/>
      <c r="F282" s="159"/>
      <c r="G282" s="160"/>
      <c r="H282" s="159"/>
      <c r="I282" s="236"/>
      <c r="J282" s="161"/>
      <c r="K282" s="162"/>
      <c r="L282" s="163"/>
      <c r="M282" s="163"/>
      <c r="N282" s="300"/>
    </row>
    <row r="283" spans="2:14" ht="20.100000000000001" customHeight="1">
      <c r="D283" s="518" t="s">
        <v>90</v>
      </c>
      <c r="E283" s="519"/>
      <c r="F283" s="519"/>
      <c r="G283" s="519"/>
      <c r="H283" s="519"/>
      <c r="I283" s="519"/>
      <c r="J283" s="513"/>
      <c r="K283" s="50" t="s">
        <v>91</v>
      </c>
      <c r="L283" s="51" t="s">
        <v>92</v>
      </c>
      <c r="M283" s="51" t="s">
        <v>93</v>
      </c>
      <c r="N283" s="272" t="s">
        <v>94</v>
      </c>
    </row>
    <row r="284" spans="2:14" ht="20.100000000000001" customHeight="1">
      <c r="B284" s="260" t="s">
        <v>248</v>
      </c>
      <c r="D284" s="264" t="str">
        <f>IF(B284=0,0,VLOOKUP(B284,MO,2,FALSE))</f>
        <v>SERVENTE</v>
      </c>
      <c r="E284" s="53"/>
      <c r="F284" s="53"/>
      <c r="G284" s="53"/>
      <c r="H284" s="53"/>
      <c r="I284" s="36"/>
      <c r="J284" s="54"/>
      <c r="K284" s="152"/>
      <c r="L284" s="164">
        <v>3</v>
      </c>
      <c r="M284" s="263">
        <f>IF(B284=0,0,VLOOKUP(B284,MO,6,FALSE))</f>
        <v>7.9973000000000001</v>
      </c>
      <c r="N284" s="316">
        <f>ROUND(L284*M284,2)</f>
        <v>23.99</v>
      </c>
    </row>
    <row r="285" spans="2:14" ht="20.100000000000001" customHeight="1">
      <c r="B285" s="260"/>
      <c r="D285" s="264">
        <f>IF(B285=0,0,VLOOKUP(B285,MO,2,FALSE))</f>
        <v>0</v>
      </c>
      <c r="E285" s="53"/>
      <c r="F285" s="53"/>
      <c r="G285" s="53"/>
      <c r="H285" s="53"/>
      <c r="I285" s="36"/>
      <c r="J285" s="54"/>
      <c r="K285" s="152"/>
      <c r="L285" s="164"/>
      <c r="M285" s="263">
        <f>IF(B285=0,0,VLOOKUP(B285,MO,6,FALSE))</f>
        <v>0</v>
      </c>
      <c r="N285" s="316">
        <f>ROUND(L285*M285,2)</f>
        <v>0</v>
      </c>
    </row>
    <row r="286" spans="2:14" ht="20.100000000000001" customHeight="1">
      <c r="B286" s="260"/>
      <c r="D286" s="52" t="s">
        <v>122</v>
      </c>
      <c r="E286" s="53"/>
      <c r="F286" s="53"/>
      <c r="G286" s="53"/>
      <c r="H286" s="53"/>
      <c r="I286" s="36"/>
      <c r="J286" s="54"/>
      <c r="K286" s="165">
        <v>0.05</v>
      </c>
      <c r="L286" s="320">
        <f>N284+N285</f>
        <v>23.99</v>
      </c>
      <c r="M286" s="164"/>
      <c r="N286" s="316">
        <f>ROUND(L286*K286,2)</f>
        <v>1.2</v>
      </c>
    </row>
    <row r="287" spans="2:14" ht="20.100000000000001" customHeight="1">
      <c r="D287" s="167"/>
      <c r="E287" s="59"/>
      <c r="F287" s="168"/>
      <c r="G287" s="168"/>
      <c r="H287" s="159"/>
      <c r="I287" s="236"/>
      <c r="J287" s="169"/>
      <c r="K287" s="162"/>
      <c r="L287" s="163"/>
      <c r="M287" s="62" t="s">
        <v>98</v>
      </c>
      <c r="N287" s="302">
        <f>SUM(N284:N286)</f>
        <v>25.189999999999998</v>
      </c>
    </row>
    <row r="288" spans="2:14" ht="3.95" customHeight="1">
      <c r="D288" s="158"/>
      <c r="E288" s="159"/>
      <c r="F288" s="159"/>
      <c r="G288" s="159"/>
      <c r="H288" s="159"/>
      <c r="I288" s="236"/>
      <c r="J288" s="169"/>
      <c r="K288" s="162"/>
      <c r="L288" s="163"/>
      <c r="M288" s="163"/>
      <c r="N288" s="300"/>
    </row>
    <row r="289" spans="2:14" ht="20.100000000000001" customHeight="1">
      <c r="D289" s="170"/>
      <c r="E289" s="168"/>
      <c r="F289" s="168"/>
      <c r="G289" s="168"/>
      <c r="H289" s="171"/>
      <c r="I289" s="237"/>
      <c r="J289" s="171"/>
      <c r="K289" s="509" t="s">
        <v>99</v>
      </c>
      <c r="L289" s="510"/>
      <c r="M289" s="511"/>
      <c r="N289" s="303">
        <f>+N281+N287</f>
        <v>25.189999999999998</v>
      </c>
    </row>
    <row r="290" spans="2:14" ht="3.95" customHeight="1">
      <c r="D290" s="172"/>
      <c r="E290" s="159"/>
      <c r="F290" s="159"/>
      <c r="G290" s="160"/>
      <c r="H290" s="159"/>
      <c r="I290" s="236"/>
      <c r="J290" s="161"/>
      <c r="K290" s="162"/>
      <c r="L290" s="163"/>
      <c r="M290" s="163"/>
      <c r="N290" s="300"/>
    </row>
    <row r="291" spans="2:14" ht="20.100000000000001" customHeight="1">
      <c r="D291" s="167"/>
      <c r="E291" s="509" t="s">
        <v>100</v>
      </c>
      <c r="F291" s="510"/>
      <c r="G291" s="510"/>
      <c r="H291" s="511"/>
      <c r="I291" s="238">
        <v>1</v>
      </c>
      <c r="J291" s="163"/>
      <c r="K291" s="506" t="s">
        <v>101</v>
      </c>
      <c r="L291" s="507"/>
      <c r="M291" s="508"/>
      <c r="N291" s="304">
        <f>ROUND(N289/I291,2)</f>
        <v>25.19</v>
      </c>
    </row>
    <row r="292" spans="2:14" ht="3.95" customHeight="1">
      <c r="D292" s="158"/>
      <c r="E292" s="159"/>
      <c r="F292" s="159"/>
      <c r="G292" s="173"/>
      <c r="H292" s="159"/>
      <c r="I292" s="163"/>
      <c r="J292" s="161"/>
      <c r="K292" s="161"/>
      <c r="L292" s="163"/>
      <c r="M292" s="161"/>
      <c r="N292" s="305"/>
    </row>
    <row r="293" spans="2:14" ht="20.100000000000001" customHeight="1">
      <c r="D293" s="49" t="s">
        <v>102</v>
      </c>
      <c r="E293" s="22"/>
      <c r="F293" s="22"/>
      <c r="G293" s="22"/>
      <c r="H293" s="22"/>
      <c r="I293" s="141"/>
      <c r="J293" s="23"/>
      <c r="K293" s="50" t="s">
        <v>103</v>
      </c>
      <c r="L293" s="51" t="s">
        <v>80</v>
      </c>
      <c r="M293" s="51" t="s">
        <v>104</v>
      </c>
      <c r="N293" s="272" t="s">
        <v>105</v>
      </c>
    </row>
    <row r="294" spans="2:14" ht="20.100000000000001" customHeight="1">
      <c r="B294" s="260" t="s">
        <v>403</v>
      </c>
      <c r="D294" s="52" t="str">
        <f>IF(B294=0,0,VLOOKUP(B294,MAT,3,FALSE))</f>
        <v>ROCHA P/ BRITAGEM COM PERFUR. MANUAL</v>
      </c>
      <c r="E294" s="53"/>
      <c r="F294" s="53"/>
      <c r="G294" s="53"/>
      <c r="H294" s="53"/>
      <c r="I294" s="36"/>
      <c r="J294" s="54"/>
      <c r="K294" s="66" t="str">
        <f>IF(B294=0,0,VLOOKUP(B294,MAT,5,FALSE))</f>
        <v>M3</v>
      </c>
      <c r="L294" s="67">
        <f>IF(B294=0,0,VLOOKUP(B294,MAT,6,FALSE))</f>
        <v>22.26</v>
      </c>
      <c r="M294" s="174">
        <v>0.56999999999999995</v>
      </c>
      <c r="N294" s="301">
        <f>ROUND(L294*M294,2)</f>
        <v>12.69</v>
      </c>
    </row>
    <row r="295" spans="2:14" ht="20.100000000000001" customHeight="1">
      <c r="B295" s="260"/>
      <c r="D295" s="264">
        <f>IF(B295=0,0,VLOOKUP(B295,MAT,3,FALSE))</f>
        <v>0</v>
      </c>
      <c r="E295" s="53"/>
      <c r="F295" s="53"/>
      <c r="G295" s="53"/>
      <c r="H295" s="53"/>
      <c r="I295" s="36"/>
      <c r="J295" s="54"/>
      <c r="K295" s="262">
        <f>IF(B295=0,0,VLOOKUP(B295,MAT,5,FALSE))</f>
        <v>0</v>
      </c>
      <c r="L295" s="267">
        <f>IF(B295=0,0,VLOOKUP(B295,MAT,6,FALSE))</f>
        <v>0</v>
      </c>
      <c r="M295" s="174"/>
      <c r="N295" s="316">
        <f>ROUND(L295*M295,2)</f>
        <v>0</v>
      </c>
    </row>
    <row r="296" spans="2:14" ht="20.100000000000001" customHeight="1">
      <c r="B296" s="260"/>
      <c r="D296" s="264">
        <f>IF(B296=0,0,VLOOKUP(B296,MAT,3,FALSE))</f>
        <v>0</v>
      </c>
      <c r="E296" s="53"/>
      <c r="F296" s="53"/>
      <c r="G296" s="53"/>
      <c r="H296" s="53"/>
      <c r="I296" s="36"/>
      <c r="J296" s="54"/>
      <c r="K296" s="262">
        <f>IF(B296=0,0,VLOOKUP(B296,MAT,5,FALSE))</f>
        <v>0</v>
      </c>
      <c r="L296" s="267">
        <f>IF(B296=0,0,VLOOKUP(B296,MAT,6,FALSE))</f>
        <v>0</v>
      </c>
      <c r="M296" s="174"/>
      <c r="N296" s="316">
        <f>ROUND(L296*M296,2)</f>
        <v>0</v>
      </c>
    </row>
    <row r="297" spans="2:14" ht="20.100000000000001" customHeight="1">
      <c r="D297" s="158"/>
      <c r="E297" s="159"/>
      <c r="F297" s="159"/>
      <c r="G297" s="173"/>
      <c r="H297" s="159"/>
      <c r="I297" s="163"/>
      <c r="J297" s="161"/>
      <c r="K297" s="161"/>
      <c r="L297" s="163"/>
      <c r="M297" s="71" t="s">
        <v>106</v>
      </c>
      <c r="N297" s="302">
        <f>SUM(N294:N296)</f>
        <v>12.69</v>
      </c>
    </row>
    <row r="298" spans="2:14" ht="20.100000000000001" customHeight="1">
      <c r="D298" s="158"/>
      <c r="E298" s="159"/>
      <c r="F298" s="159"/>
      <c r="G298" s="173"/>
      <c r="H298" s="159"/>
      <c r="I298" s="163"/>
      <c r="J298" s="161"/>
      <c r="K298" s="161"/>
      <c r="L298" s="163"/>
      <c r="M298" s="161"/>
      <c r="N298" s="305"/>
    </row>
    <row r="299" spans="2:14" ht="20.100000000000001" customHeight="1">
      <c r="D299" s="527" t="s">
        <v>107</v>
      </c>
      <c r="E299" s="72" t="s">
        <v>2</v>
      </c>
      <c r="F299" s="73"/>
      <c r="G299" s="73"/>
      <c r="H299" s="74"/>
      <c r="I299" s="498" t="s">
        <v>108</v>
      </c>
      <c r="J299" s="499"/>
      <c r="K299" s="531" t="s">
        <v>103</v>
      </c>
      <c r="L299" s="514" t="s">
        <v>80</v>
      </c>
      <c r="M299" s="531" t="s">
        <v>109</v>
      </c>
      <c r="N299" s="529" t="s">
        <v>105</v>
      </c>
    </row>
    <row r="300" spans="2:14" ht="20.100000000000001" customHeight="1">
      <c r="D300" s="528"/>
      <c r="E300" s="512" t="s">
        <v>110</v>
      </c>
      <c r="F300" s="513"/>
      <c r="G300" s="512" t="s">
        <v>111</v>
      </c>
      <c r="H300" s="513"/>
      <c r="I300" s="500"/>
      <c r="J300" s="501"/>
      <c r="K300" s="532"/>
      <c r="L300" s="515"/>
      <c r="M300" s="532"/>
      <c r="N300" s="530"/>
    </row>
    <row r="301" spans="2:14" ht="20.100000000000001" customHeight="1">
      <c r="B301" s="260"/>
      <c r="D301" s="261">
        <f>IF(B301=0,0,VLOOKUP(B301,TRANS,3,FALSE))</f>
        <v>0</v>
      </c>
      <c r="E301" s="581">
        <f>IF(B301=0,0,VLOOKUP(B301,TRANS,5,FALSE))</f>
        <v>0</v>
      </c>
      <c r="F301" s="582"/>
      <c r="G301" s="502"/>
      <c r="H301" s="503"/>
      <c r="I301" s="533"/>
      <c r="J301" s="534">
        <v>50</v>
      </c>
      <c r="K301" s="262">
        <f>IF(B301=0,0,VLOOKUP(B301,TRANS,4,FALSE))</f>
        <v>0</v>
      </c>
      <c r="L301" s="387">
        <f>E301*I301</f>
        <v>0</v>
      </c>
      <c r="M301" s="70"/>
      <c r="N301" s="317">
        <f>ROUND(L301*M301,2)</f>
        <v>0</v>
      </c>
    </row>
    <row r="302" spans="2:14" ht="20.100000000000001" customHeight="1">
      <c r="B302" s="260"/>
      <c r="D302" s="261"/>
      <c r="E302" s="504"/>
      <c r="F302" s="505"/>
      <c r="G302" s="502"/>
      <c r="H302" s="503"/>
      <c r="I302" s="533"/>
      <c r="J302" s="534"/>
      <c r="K302" s="66"/>
      <c r="L302" s="67"/>
      <c r="M302" s="70"/>
      <c r="N302" s="278"/>
    </row>
    <row r="303" spans="2:14" ht="20.100000000000001" customHeight="1">
      <c r="D303" s="175"/>
      <c r="E303" s="176"/>
      <c r="F303" s="159"/>
      <c r="G303" s="173"/>
      <c r="H303" s="159"/>
      <c r="I303" s="163"/>
      <c r="J303" s="161"/>
      <c r="K303" s="161"/>
      <c r="L303" s="163"/>
      <c r="M303" s="71" t="s">
        <v>112</v>
      </c>
      <c r="N303" s="437">
        <f>SUM(N301:N302)</f>
        <v>0</v>
      </c>
    </row>
    <row r="304" spans="2:14" ht="3.95" customHeight="1" thickBot="1">
      <c r="D304" s="175"/>
      <c r="E304" s="159"/>
      <c r="F304" s="173"/>
      <c r="G304" s="159"/>
      <c r="H304" s="161"/>
      <c r="I304" s="163"/>
      <c r="J304" s="161"/>
      <c r="K304" s="161"/>
      <c r="L304" s="163"/>
      <c r="M304" s="161"/>
      <c r="N304" s="305"/>
    </row>
    <row r="305" spans="2:21" ht="20.100000000000001" customHeight="1">
      <c r="D305" s="177"/>
      <c r="E305" s="178"/>
      <c r="F305" s="178"/>
      <c r="G305" s="178"/>
      <c r="H305" s="179"/>
      <c r="I305" s="239"/>
      <c r="J305" s="127" t="s">
        <v>114</v>
      </c>
      <c r="K305" s="128"/>
      <c r="L305" s="306"/>
      <c r="M305" s="129">
        <v>0</v>
      </c>
      <c r="N305" s="447">
        <f>(+$N291+$N297+$N303)*M305</f>
        <v>0</v>
      </c>
    </row>
    <row r="306" spans="2:21" ht="20.100000000000001" customHeight="1" thickBot="1">
      <c r="D306" s="180"/>
      <c r="E306" s="181"/>
      <c r="F306" s="181"/>
      <c r="G306" s="181"/>
      <c r="H306" s="181"/>
      <c r="I306" s="240"/>
      <c r="J306" s="537" t="s">
        <v>149</v>
      </c>
      <c r="K306" s="538"/>
      <c r="L306" s="538"/>
      <c r="M306" s="538"/>
      <c r="N306" s="308">
        <f>+$N291+$N297+$N303+N305</f>
        <v>37.880000000000003</v>
      </c>
    </row>
    <row r="307" spans="2:21" ht="20.100000000000001" customHeight="1" thickBot="1">
      <c r="D307" s="182"/>
      <c r="E307" s="183"/>
      <c r="F307" s="183"/>
      <c r="G307" s="183"/>
      <c r="H307" s="183"/>
      <c r="I307" s="241"/>
      <c r="J307" s="184" t="s">
        <v>158</v>
      </c>
      <c r="K307" s="185"/>
      <c r="L307" s="309"/>
      <c r="M307" s="186">
        <v>0</v>
      </c>
      <c r="N307" s="310">
        <f>(M307*N306)+N306</f>
        <v>37.880000000000003</v>
      </c>
      <c r="O307" s="210"/>
      <c r="P307" s="16">
        <v>48.42</v>
      </c>
      <c r="R307" s="90">
        <f>(N307/P307)-1</f>
        <v>-0.21767864518793889</v>
      </c>
    </row>
    <row r="310" spans="2:21" ht="20.100000000000001" customHeight="1" thickBot="1"/>
    <row r="311" spans="2:21" ht="20.100000000000001" customHeight="1">
      <c r="D311" s="598" t="s">
        <v>319</v>
      </c>
      <c r="E311" s="599"/>
      <c r="F311" s="524" t="s">
        <v>74</v>
      </c>
      <c r="G311" s="525"/>
      <c r="H311" s="525"/>
      <c r="I311" s="525"/>
      <c r="J311" s="525"/>
      <c r="K311" s="525"/>
      <c r="L311" s="526"/>
      <c r="M311" s="19" t="s">
        <v>75</v>
      </c>
      <c r="N311" s="20" t="s">
        <v>76</v>
      </c>
      <c r="U311" s="132">
        <f>N347</f>
        <v>29.880000000000003</v>
      </c>
    </row>
    <row r="312" spans="2:21" ht="20.100000000000001" customHeight="1">
      <c r="D312" s="600"/>
      <c r="E312" s="601"/>
      <c r="F312" s="512" t="s">
        <v>421</v>
      </c>
      <c r="G312" s="519"/>
      <c r="H312" s="519"/>
      <c r="I312" s="519"/>
      <c r="J312" s="519"/>
      <c r="K312" s="519"/>
      <c r="L312" s="513"/>
      <c r="M312" s="24" t="s">
        <v>5</v>
      </c>
      <c r="N312" s="25">
        <f>DATA</f>
        <v>41214</v>
      </c>
    </row>
    <row r="313" spans="2:21" ht="20.100000000000001" customHeight="1">
      <c r="D313" s="26" t="s">
        <v>77</v>
      </c>
      <c r="E313" s="27"/>
      <c r="F313" s="27"/>
      <c r="G313" s="27"/>
      <c r="H313" s="28"/>
      <c r="I313" s="214" t="s">
        <v>78</v>
      </c>
      <c r="J313" s="509" t="s">
        <v>79</v>
      </c>
      <c r="K313" s="511"/>
      <c r="L313" s="535" t="s">
        <v>80</v>
      </c>
      <c r="M313" s="536"/>
      <c r="N313" s="516" t="s">
        <v>81</v>
      </c>
    </row>
    <row r="314" spans="2:21" ht="20.100000000000001" customHeight="1">
      <c r="D314" s="31"/>
      <c r="E314" s="32"/>
      <c r="F314" s="32"/>
      <c r="G314" s="32"/>
      <c r="H314" s="33"/>
      <c r="I314" s="34"/>
      <c r="J314" s="51" t="s">
        <v>82</v>
      </c>
      <c r="K314" s="51" t="s">
        <v>83</v>
      </c>
      <c r="L314" s="51" t="s">
        <v>82</v>
      </c>
      <c r="M314" s="51" t="s">
        <v>84</v>
      </c>
      <c r="N314" s="517"/>
    </row>
    <row r="315" spans="2:21" ht="20.100000000000001" customHeight="1">
      <c r="B315" s="260" t="s">
        <v>286</v>
      </c>
      <c r="D315" s="264" t="str">
        <f t="shared" ref="D315:D321" si="29">IF(B315=0,0,VLOOKUP(B315,EQUIP,3,FALSE))</f>
        <v>CARREGADEIRA DE PNEUS - 3,1 m³ (127KW)</v>
      </c>
      <c r="E315" s="265"/>
      <c r="F315" s="265"/>
      <c r="G315" s="265"/>
      <c r="H315" s="266"/>
      <c r="I315" s="318">
        <v>1</v>
      </c>
      <c r="J315" s="318">
        <v>0.93</v>
      </c>
      <c r="K315" s="318">
        <f>1-J315</f>
        <v>6.9999999999999951E-2</v>
      </c>
      <c r="L315" s="318">
        <f t="shared" ref="L315:L321" si="30">IF(B315=0,0,VLOOKUP(B315,EQUIP,6,FALSE))</f>
        <v>185.29</v>
      </c>
      <c r="M315" s="318">
        <f t="shared" ref="M315:M321" si="31">IF(B315=0,0,VLOOKUP(B315,EQUIP,7,FALSE))</f>
        <v>22.39</v>
      </c>
      <c r="N315" s="319">
        <f t="shared" ref="N315:N321" si="32">ROUND(I315*J315*L315+I315*K315*M315,2)</f>
        <v>173.89</v>
      </c>
    </row>
    <row r="316" spans="2:21" ht="20.100000000000001" customHeight="1">
      <c r="B316" s="260" t="s">
        <v>419</v>
      </c>
      <c r="D316" s="264" t="str">
        <f t="shared" si="29"/>
        <v>USINA MISTURADORA DE SOLOS 350/600 T/H (99 KW)</v>
      </c>
      <c r="E316" s="265"/>
      <c r="F316" s="265"/>
      <c r="G316" s="265"/>
      <c r="H316" s="266"/>
      <c r="I316" s="263">
        <v>1</v>
      </c>
      <c r="J316" s="263">
        <v>1</v>
      </c>
      <c r="K316" s="318">
        <f>1-J316</f>
        <v>0</v>
      </c>
      <c r="L316" s="318">
        <f t="shared" si="30"/>
        <v>93.95</v>
      </c>
      <c r="M316" s="318">
        <f t="shared" si="31"/>
        <v>23.67</v>
      </c>
      <c r="N316" s="319">
        <f t="shared" si="32"/>
        <v>93.95</v>
      </c>
    </row>
    <row r="317" spans="2:21" ht="20.100000000000001" customHeight="1">
      <c r="B317" s="260" t="s">
        <v>393</v>
      </c>
      <c r="D317" s="264" t="str">
        <f t="shared" si="29"/>
        <v>GRUPO GERADOR - 164/180 KVA (144kw)</v>
      </c>
      <c r="E317" s="265"/>
      <c r="F317" s="265"/>
      <c r="G317" s="265"/>
      <c r="H317" s="266"/>
      <c r="I317" s="318">
        <v>1</v>
      </c>
      <c r="J317" s="318">
        <v>1</v>
      </c>
      <c r="K317" s="318">
        <f>1-J317</f>
        <v>0</v>
      </c>
      <c r="L317" s="318">
        <f t="shared" si="30"/>
        <v>87.45</v>
      </c>
      <c r="M317" s="318">
        <f t="shared" si="31"/>
        <v>17.27</v>
      </c>
      <c r="N317" s="319">
        <f t="shared" si="32"/>
        <v>87.45</v>
      </c>
    </row>
    <row r="318" spans="2:21" ht="20.100000000000001" customHeight="1">
      <c r="B318" s="260"/>
      <c r="D318" s="264">
        <f t="shared" si="29"/>
        <v>0</v>
      </c>
      <c r="E318" s="265"/>
      <c r="F318" s="265"/>
      <c r="G318" s="265"/>
      <c r="H318" s="266"/>
      <c r="I318" s="263"/>
      <c r="J318" s="263"/>
      <c r="K318" s="263"/>
      <c r="L318" s="318">
        <f t="shared" si="30"/>
        <v>0</v>
      </c>
      <c r="M318" s="318">
        <f t="shared" si="31"/>
        <v>0</v>
      </c>
      <c r="N318" s="319">
        <f t="shared" si="32"/>
        <v>0</v>
      </c>
    </row>
    <row r="319" spans="2:21" ht="20.100000000000001" customHeight="1">
      <c r="B319" s="260"/>
      <c r="D319" s="264">
        <f t="shared" si="29"/>
        <v>0</v>
      </c>
      <c r="E319" s="265"/>
      <c r="F319" s="265"/>
      <c r="G319" s="265"/>
      <c r="H319" s="266"/>
      <c r="I319" s="263"/>
      <c r="J319" s="263"/>
      <c r="K319" s="263"/>
      <c r="L319" s="318">
        <f t="shared" si="30"/>
        <v>0</v>
      </c>
      <c r="M319" s="318">
        <f t="shared" si="31"/>
        <v>0</v>
      </c>
      <c r="N319" s="319">
        <f t="shared" si="32"/>
        <v>0</v>
      </c>
    </row>
    <row r="320" spans="2:21" ht="20.100000000000001" customHeight="1">
      <c r="B320" s="260"/>
      <c r="D320" s="264">
        <f t="shared" si="29"/>
        <v>0</v>
      </c>
      <c r="E320" s="265"/>
      <c r="F320" s="265"/>
      <c r="G320" s="265"/>
      <c r="H320" s="266"/>
      <c r="I320" s="263"/>
      <c r="J320" s="318"/>
      <c r="K320" s="318"/>
      <c r="L320" s="318">
        <f t="shared" si="30"/>
        <v>0</v>
      </c>
      <c r="M320" s="318">
        <f t="shared" si="31"/>
        <v>0</v>
      </c>
      <c r="N320" s="319">
        <f t="shared" si="32"/>
        <v>0</v>
      </c>
    </row>
    <row r="321" spans="2:14" ht="20.100000000000001" customHeight="1">
      <c r="B321" s="260"/>
      <c r="D321" s="264">
        <f t="shared" si="29"/>
        <v>0</v>
      </c>
      <c r="E321" s="265"/>
      <c r="F321" s="265"/>
      <c r="G321" s="265"/>
      <c r="H321" s="266"/>
      <c r="I321" s="263"/>
      <c r="J321" s="318"/>
      <c r="K321" s="318"/>
      <c r="L321" s="318">
        <f t="shared" si="30"/>
        <v>0</v>
      </c>
      <c r="M321" s="318">
        <f t="shared" si="31"/>
        <v>0</v>
      </c>
      <c r="N321" s="319">
        <f t="shared" si="32"/>
        <v>0</v>
      </c>
    </row>
    <row r="322" spans="2:14" ht="20.100000000000001" customHeight="1">
      <c r="D322" s="155"/>
      <c r="E322" s="156"/>
      <c r="F322" s="156"/>
      <c r="G322" s="156"/>
      <c r="H322" s="156"/>
      <c r="I322" s="235"/>
      <c r="J322" s="157"/>
      <c r="K322" s="157"/>
      <c r="L322" s="216"/>
      <c r="M322" s="42" t="s">
        <v>89</v>
      </c>
      <c r="N322" s="270">
        <f>SUM(N315:N321)</f>
        <v>355.28999999999996</v>
      </c>
    </row>
    <row r="323" spans="2:14" ht="3.95" customHeight="1">
      <c r="D323" s="158"/>
      <c r="E323" s="159"/>
      <c r="F323" s="159"/>
      <c r="G323" s="160"/>
      <c r="H323" s="159"/>
      <c r="I323" s="236"/>
      <c r="J323" s="161"/>
      <c r="K323" s="162"/>
      <c r="L323" s="163"/>
      <c r="M323" s="163"/>
      <c r="N323" s="300"/>
    </row>
    <row r="324" spans="2:14" ht="20.100000000000001" customHeight="1">
      <c r="D324" s="518" t="s">
        <v>90</v>
      </c>
      <c r="E324" s="519"/>
      <c r="F324" s="519"/>
      <c r="G324" s="519"/>
      <c r="H324" s="519"/>
      <c r="I324" s="519"/>
      <c r="J324" s="513"/>
      <c r="K324" s="50" t="s">
        <v>91</v>
      </c>
      <c r="L324" s="51" t="s">
        <v>92</v>
      </c>
      <c r="M324" s="51" t="s">
        <v>93</v>
      </c>
      <c r="N324" s="272" t="s">
        <v>94</v>
      </c>
    </row>
    <row r="325" spans="2:14" ht="20.100000000000001" customHeight="1">
      <c r="B325" s="260" t="s">
        <v>247</v>
      </c>
      <c r="D325" s="264" t="str">
        <f>IF(B325=0,0,VLOOKUP(B325,MO,2,FALSE))</f>
        <v>ENCARREGADO DE TURMA</v>
      </c>
      <c r="E325" s="53"/>
      <c r="F325" s="53"/>
      <c r="G325" s="53"/>
      <c r="H325" s="53"/>
      <c r="I325" s="36"/>
      <c r="J325" s="54"/>
      <c r="K325" s="152"/>
      <c r="L325" s="164">
        <v>1</v>
      </c>
      <c r="M325" s="263">
        <f>IF(B325=0,0,VLOOKUP(B325,MO,6,FALSE))</f>
        <v>27</v>
      </c>
      <c r="N325" s="316">
        <f>ROUND(L325*M325,2)</f>
        <v>27</v>
      </c>
    </row>
    <row r="326" spans="2:14" ht="20.100000000000001" customHeight="1">
      <c r="B326" s="260" t="s">
        <v>248</v>
      </c>
      <c r="D326" s="264" t="str">
        <f>IF(B326=0,0,VLOOKUP(B326,MO,2,FALSE))</f>
        <v>SERVENTE</v>
      </c>
      <c r="E326" s="53"/>
      <c r="F326" s="53"/>
      <c r="G326" s="53"/>
      <c r="H326" s="53"/>
      <c r="I326" s="36"/>
      <c r="J326" s="54"/>
      <c r="K326" s="152"/>
      <c r="L326" s="164">
        <v>5</v>
      </c>
      <c r="M326" s="263">
        <f>IF(B326=0,0,VLOOKUP(B326,MO,6,FALSE))</f>
        <v>7.9973000000000001</v>
      </c>
      <c r="N326" s="316">
        <f>ROUND(L326*M326,2)</f>
        <v>39.99</v>
      </c>
    </row>
    <row r="327" spans="2:14" ht="20.100000000000001" customHeight="1">
      <c r="B327" s="260"/>
      <c r="D327" s="52" t="s">
        <v>122</v>
      </c>
      <c r="E327" s="53"/>
      <c r="F327" s="53"/>
      <c r="G327" s="53"/>
      <c r="H327" s="53"/>
      <c r="I327" s="36"/>
      <c r="J327" s="54"/>
      <c r="K327" s="165">
        <v>0</v>
      </c>
      <c r="L327" s="320">
        <f>N325+N326</f>
        <v>66.990000000000009</v>
      </c>
      <c r="M327" s="164"/>
      <c r="N327" s="316">
        <f>ROUND(L327*K327,2)</f>
        <v>0</v>
      </c>
    </row>
    <row r="328" spans="2:14" ht="20.100000000000001" customHeight="1">
      <c r="D328" s="167"/>
      <c r="E328" s="59"/>
      <c r="F328" s="168"/>
      <c r="G328" s="168"/>
      <c r="H328" s="159"/>
      <c r="I328" s="236"/>
      <c r="J328" s="169"/>
      <c r="K328" s="162"/>
      <c r="L328" s="163"/>
      <c r="M328" s="62" t="s">
        <v>98</v>
      </c>
      <c r="N328" s="302">
        <f>SUM(N325:N327)</f>
        <v>66.990000000000009</v>
      </c>
    </row>
    <row r="329" spans="2:14" ht="3.95" customHeight="1">
      <c r="D329" s="158"/>
      <c r="E329" s="159"/>
      <c r="F329" s="159"/>
      <c r="G329" s="159"/>
      <c r="H329" s="159"/>
      <c r="I329" s="236"/>
      <c r="J329" s="169"/>
      <c r="K329" s="162"/>
      <c r="L329" s="163"/>
      <c r="M329" s="163"/>
      <c r="N329" s="300"/>
    </row>
    <row r="330" spans="2:14" ht="20.100000000000001" customHeight="1">
      <c r="D330" s="170"/>
      <c r="E330" s="168"/>
      <c r="F330" s="168"/>
      <c r="G330" s="168"/>
      <c r="H330" s="171"/>
      <c r="I330" s="237"/>
      <c r="J330" s="171"/>
      <c r="K330" s="509" t="s">
        <v>99</v>
      </c>
      <c r="L330" s="510"/>
      <c r="M330" s="511"/>
      <c r="N330" s="303">
        <f>+N322+N328</f>
        <v>422.28</v>
      </c>
    </row>
    <row r="331" spans="2:14" ht="3.95" customHeight="1">
      <c r="D331" s="172"/>
      <c r="E331" s="159"/>
      <c r="F331" s="159"/>
      <c r="G331" s="160"/>
      <c r="H331" s="159"/>
      <c r="I331" s="236"/>
      <c r="J331" s="161"/>
      <c r="K331" s="162"/>
      <c r="L331" s="163"/>
      <c r="M331" s="163"/>
      <c r="N331" s="300"/>
    </row>
    <row r="332" spans="2:14" ht="20.100000000000001" customHeight="1">
      <c r="D332" s="167"/>
      <c r="E332" s="509" t="s">
        <v>100</v>
      </c>
      <c r="F332" s="510"/>
      <c r="G332" s="510"/>
      <c r="H332" s="511"/>
      <c r="I332" s="238">
        <v>121</v>
      </c>
      <c r="J332" s="163"/>
      <c r="K332" s="506" t="s">
        <v>101</v>
      </c>
      <c r="L332" s="507"/>
      <c r="M332" s="508"/>
      <c r="N332" s="304">
        <f>ROUND(N330/I332,2)</f>
        <v>3.49</v>
      </c>
    </row>
    <row r="333" spans="2:14" ht="3.95" customHeight="1">
      <c r="D333" s="158"/>
      <c r="E333" s="159"/>
      <c r="F333" s="159"/>
      <c r="G333" s="173"/>
      <c r="H333" s="159"/>
      <c r="I333" s="163"/>
      <c r="J333" s="161"/>
      <c r="K333" s="161"/>
      <c r="L333" s="163"/>
      <c r="M333" s="161"/>
      <c r="N333" s="305"/>
    </row>
    <row r="334" spans="2:14" ht="20.100000000000001" customHeight="1">
      <c r="D334" s="49" t="s">
        <v>102</v>
      </c>
      <c r="E334" s="22"/>
      <c r="F334" s="22"/>
      <c r="G334" s="22"/>
      <c r="H334" s="22"/>
      <c r="I334" s="141"/>
      <c r="J334" s="23"/>
      <c r="K334" s="50" t="s">
        <v>103</v>
      </c>
      <c r="L334" s="51" t="s">
        <v>80</v>
      </c>
      <c r="M334" s="51" t="s">
        <v>104</v>
      </c>
      <c r="N334" s="272" t="s">
        <v>105</v>
      </c>
    </row>
    <row r="335" spans="2:14" ht="20.100000000000001" customHeight="1">
      <c r="B335" s="260" t="s">
        <v>409</v>
      </c>
      <c r="D335" s="264" t="str">
        <f>IF(B335=0,0,VLOOKUP(B335,MAT,3,FALSE))</f>
        <v>ESCAVAÇÃO E CARGA DE MATERIAL DE JAZIDA (CONST. E RESTR.)</v>
      </c>
      <c r="E335" s="53"/>
      <c r="F335" s="53"/>
      <c r="G335" s="53"/>
      <c r="H335" s="53"/>
      <c r="I335" s="36"/>
      <c r="J335" s="54"/>
      <c r="K335" s="262" t="str">
        <f>IF(B335=0,0,VLOOKUP(B335,MAT,5,FALSE))</f>
        <v>M3</v>
      </c>
      <c r="L335" s="267">
        <f>IF(B335=0,0,VLOOKUP(B335,MAT,6,FALSE))</f>
        <v>10.77</v>
      </c>
      <c r="M335" s="174">
        <v>0.84599999999999997</v>
      </c>
      <c r="N335" s="316">
        <f>ROUND(L335*M335,2)</f>
        <v>9.11</v>
      </c>
    </row>
    <row r="336" spans="2:14" ht="20.100000000000001" customHeight="1">
      <c r="B336" s="260" t="s">
        <v>305</v>
      </c>
      <c r="D336" s="264" t="str">
        <f>IF(B336=0,0,VLOOKUP(B336,MAT,3,FALSE))</f>
        <v>BRITA COMERCIAL</v>
      </c>
      <c r="E336" s="53"/>
      <c r="F336" s="53"/>
      <c r="G336" s="53"/>
      <c r="H336" s="53"/>
      <c r="I336" s="36"/>
      <c r="J336" s="54"/>
      <c r="K336" s="262" t="str">
        <f>IF(B336=0,0,VLOOKUP(B336,MAT,5,FALSE))</f>
        <v>M3</v>
      </c>
      <c r="L336" s="267">
        <f>IF(B336=0,0,VLOOKUP(B336,MAT,6,FALSE))</f>
        <v>30.630000000000003</v>
      </c>
      <c r="M336" s="174">
        <v>0.56399999999999995</v>
      </c>
      <c r="N336" s="316">
        <f>ROUND(L336*M336,2)</f>
        <v>17.28</v>
      </c>
    </row>
    <row r="337" spans="2:21" ht="20.100000000000001" customHeight="1">
      <c r="D337" s="158"/>
      <c r="E337" s="159"/>
      <c r="F337" s="159"/>
      <c r="G337" s="173"/>
      <c r="H337" s="159"/>
      <c r="I337" s="163"/>
      <c r="J337" s="161"/>
      <c r="K337" s="161"/>
      <c r="L337" s="163"/>
      <c r="M337" s="71" t="s">
        <v>106</v>
      </c>
      <c r="N337" s="302">
        <f>SUM(N335:N336)</f>
        <v>26.39</v>
      </c>
    </row>
    <row r="338" spans="2:21" ht="20.100000000000001" customHeight="1">
      <c r="D338" s="158"/>
      <c r="E338" s="159"/>
      <c r="F338" s="159"/>
      <c r="G338" s="173"/>
      <c r="H338" s="159"/>
      <c r="I338" s="163"/>
      <c r="J338" s="161"/>
      <c r="K338" s="161"/>
      <c r="L338" s="163"/>
      <c r="M338" s="161"/>
      <c r="N338" s="305"/>
    </row>
    <row r="339" spans="2:21" ht="20.100000000000001" customHeight="1">
      <c r="D339" s="527" t="s">
        <v>107</v>
      </c>
      <c r="E339" s="72" t="s">
        <v>2</v>
      </c>
      <c r="F339" s="73"/>
      <c r="G339" s="73"/>
      <c r="H339" s="74"/>
      <c r="I339" s="498" t="s">
        <v>108</v>
      </c>
      <c r="J339" s="499"/>
      <c r="K339" s="531" t="s">
        <v>103</v>
      </c>
      <c r="L339" s="514" t="s">
        <v>80</v>
      </c>
      <c r="M339" s="531" t="s">
        <v>109</v>
      </c>
      <c r="N339" s="529" t="s">
        <v>105</v>
      </c>
    </row>
    <row r="340" spans="2:21" ht="20.100000000000001" customHeight="1">
      <c r="D340" s="528"/>
      <c r="E340" s="512" t="s">
        <v>110</v>
      </c>
      <c r="F340" s="513"/>
      <c r="G340" s="512" t="s">
        <v>111</v>
      </c>
      <c r="H340" s="513"/>
      <c r="I340" s="500"/>
      <c r="J340" s="501"/>
      <c r="K340" s="532"/>
      <c r="L340" s="515"/>
      <c r="M340" s="532"/>
      <c r="N340" s="530"/>
    </row>
    <row r="341" spans="2:21" ht="20.100000000000001" customHeight="1">
      <c r="B341" s="260"/>
      <c r="D341" s="261">
        <f>IF(B341=0,0,VLOOKUP(B341,TRANS,3,FALSE))</f>
        <v>0</v>
      </c>
      <c r="E341" s="581">
        <f>IF(B341=0,0,VLOOKUP(B341,TRANS,5,FALSE))</f>
        <v>0</v>
      </c>
      <c r="F341" s="582"/>
      <c r="G341" s="502"/>
      <c r="H341" s="503"/>
      <c r="I341" s="533"/>
      <c r="J341" s="534">
        <v>50</v>
      </c>
      <c r="K341" s="262">
        <f>IF(B341=0,0,VLOOKUP(B341,TRANS,4,FALSE))</f>
        <v>0</v>
      </c>
      <c r="L341" s="387">
        <f>E341*I341</f>
        <v>0</v>
      </c>
      <c r="M341" s="70"/>
      <c r="N341" s="317">
        <f>ROUND(L341*M341,2)</f>
        <v>0</v>
      </c>
    </row>
    <row r="342" spans="2:21" ht="20.100000000000001" customHeight="1">
      <c r="B342" s="260"/>
      <c r="D342" s="261"/>
      <c r="E342" s="504"/>
      <c r="F342" s="505"/>
      <c r="G342" s="502"/>
      <c r="H342" s="503"/>
      <c r="I342" s="533"/>
      <c r="J342" s="534"/>
      <c r="K342" s="66"/>
      <c r="L342" s="67"/>
      <c r="M342" s="70"/>
      <c r="N342" s="278"/>
    </row>
    <row r="343" spans="2:21" ht="20.100000000000001" customHeight="1">
      <c r="D343" s="175"/>
      <c r="E343" s="176"/>
      <c r="F343" s="159"/>
      <c r="G343" s="173"/>
      <c r="H343" s="159"/>
      <c r="I343" s="163"/>
      <c r="J343" s="161"/>
      <c r="K343" s="161"/>
      <c r="L343" s="163"/>
      <c r="M343" s="71" t="s">
        <v>112</v>
      </c>
      <c r="N343" s="437">
        <f>SUM(N341:N342)</f>
        <v>0</v>
      </c>
    </row>
    <row r="344" spans="2:21" ht="3.95" customHeight="1" thickBot="1">
      <c r="D344" s="175"/>
      <c r="E344" s="159"/>
      <c r="F344" s="173"/>
      <c r="G344" s="159"/>
      <c r="H344" s="161"/>
      <c r="I344" s="163"/>
      <c r="J344" s="161"/>
      <c r="K344" s="161"/>
      <c r="L344" s="163"/>
      <c r="M344" s="161"/>
      <c r="N344" s="305"/>
    </row>
    <row r="345" spans="2:21" ht="20.100000000000001" customHeight="1">
      <c r="D345" s="177"/>
      <c r="E345" s="178"/>
      <c r="F345" s="178"/>
      <c r="G345" s="178"/>
      <c r="H345" s="179"/>
      <c r="I345" s="239"/>
      <c r="J345" s="127" t="s">
        <v>114</v>
      </c>
      <c r="K345" s="128"/>
      <c r="L345" s="306"/>
      <c r="M345" s="129">
        <v>0</v>
      </c>
      <c r="N345" s="447">
        <f>(+$N332+$N337+$N343)*M345</f>
        <v>0</v>
      </c>
    </row>
    <row r="346" spans="2:21" ht="20.100000000000001" customHeight="1" thickBot="1">
      <c r="D346" s="180"/>
      <c r="E346" s="181"/>
      <c r="F346" s="181"/>
      <c r="G346" s="181"/>
      <c r="H346" s="181"/>
      <c r="I346" s="240"/>
      <c r="J346" s="537" t="s">
        <v>149</v>
      </c>
      <c r="K346" s="538"/>
      <c r="L346" s="538"/>
      <c r="M346" s="538"/>
      <c r="N346" s="308">
        <f>+$N332+$N337+$N343+N345</f>
        <v>29.880000000000003</v>
      </c>
    </row>
    <row r="347" spans="2:21" ht="20.100000000000001" customHeight="1" thickBot="1">
      <c r="D347" s="182"/>
      <c r="E347" s="183"/>
      <c r="F347" s="183"/>
      <c r="G347" s="183"/>
      <c r="H347" s="183"/>
      <c r="I347" s="241"/>
      <c r="J347" s="184" t="s">
        <v>158</v>
      </c>
      <c r="K347" s="185"/>
      <c r="L347" s="309"/>
      <c r="M347" s="186">
        <v>0</v>
      </c>
      <c r="N347" s="310">
        <f>(M347*N346)+N346</f>
        <v>29.880000000000003</v>
      </c>
      <c r="O347" s="210"/>
      <c r="P347" s="16">
        <v>48.42</v>
      </c>
      <c r="R347" s="90">
        <f>(N347/P347)-1</f>
        <v>-0.38289962825278812</v>
      </c>
    </row>
    <row r="350" spans="2:21" ht="20.100000000000001" customHeight="1" thickBot="1"/>
    <row r="351" spans="2:21" ht="20.100000000000001" customHeight="1">
      <c r="D351" s="598">
        <v>50024</v>
      </c>
      <c r="E351" s="599"/>
      <c r="F351" s="542" t="s">
        <v>74</v>
      </c>
      <c r="G351" s="543"/>
      <c r="H351" s="543"/>
      <c r="I351" s="543"/>
      <c r="J351" s="543"/>
      <c r="K351" s="543"/>
      <c r="L351" s="544"/>
      <c r="M351" s="19" t="s">
        <v>75</v>
      </c>
      <c r="N351" s="20" t="s">
        <v>76</v>
      </c>
      <c r="U351" s="132">
        <f>N399</f>
        <v>0.60227600000000003</v>
      </c>
    </row>
    <row r="352" spans="2:21" ht="20.100000000000001" customHeight="1">
      <c r="D352" s="600"/>
      <c r="E352" s="601"/>
      <c r="F352" s="512" t="s">
        <v>371</v>
      </c>
      <c r="G352" s="519"/>
      <c r="H352" s="519"/>
      <c r="I352" s="519"/>
      <c r="J352" s="519"/>
      <c r="K352" s="519"/>
      <c r="L352" s="513"/>
      <c r="M352" s="24" t="s">
        <v>6</v>
      </c>
      <c r="N352" s="25">
        <f>DATA</f>
        <v>41214</v>
      </c>
    </row>
    <row r="353" spans="2:14" ht="20.100000000000001" customHeight="1">
      <c r="D353" s="26" t="s">
        <v>77</v>
      </c>
      <c r="E353" s="27"/>
      <c r="F353" s="27"/>
      <c r="G353" s="27"/>
      <c r="H353" s="28"/>
      <c r="I353" s="214" t="s">
        <v>78</v>
      </c>
      <c r="J353" s="509" t="s">
        <v>79</v>
      </c>
      <c r="K353" s="511"/>
      <c r="L353" s="535" t="s">
        <v>80</v>
      </c>
      <c r="M353" s="536"/>
      <c r="N353" s="516" t="s">
        <v>81</v>
      </c>
    </row>
    <row r="354" spans="2:14" ht="20.100000000000001" customHeight="1">
      <c r="D354" s="31"/>
      <c r="E354" s="32"/>
      <c r="F354" s="32"/>
      <c r="G354" s="32"/>
      <c r="H354" s="33"/>
      <c r="I354" s="34"/>
      <c r="J354" s="51" t="s">
        <v>82</v>
      </c>
      <c r="K354" s="51" t="s">
        <v>83</v>
      </c>
      <c r="L354" s="51" t="s">
        <v>82</v>
      </c>
      <c r="M354" s="51" t="s">
        <v>84</v>
      </c>
      <c r="N354" s="517"/>
    </row>
    <row r="355" spans="2:14" ht="20.100000000000001" customHeight="1">
      <c r="B355" s="260" t="s">
        <v>292</v>
      </c>
      <c r="D355" s="35" t="str">
        <f>IF(B355=0,0,VLOOKUP(B355,EQUIP,3,FALSE))</f>
        <v>TRATOR AGRICOLA (77 KW)</v>
      </c>
      <c r="E355" s="36"/>
      <c r="F355" s="36"/>
      <c r="G355" s="36"/>
      <c r="H355" s="37"/>
      <c r="I355" s="215">
        <v>1</v>
      </c>
      <c r="J355" s="38">
        <v>0.55000000000000004</v>
      </c>
      <c r="K355" s="38">
        <v>0.45</v>
      </c>
      <c r="L355" s="215">
        <f>IF(B355=0,0,VLOOKUP(B355,EQUIP,6,FALSE))</f>
        <v>65.799899999999994</v>
      </c>
      <c r="M355" s="38">
        <f>IF(B355=0,0,VLOOKUP(B355,EQUIP,7,FALSE))</f>
        <v>17.27</v>
      </c>
      <c r="N355" s="269">
        <f>ROUND(I355*J355*L355+I355*K355*M355,2)</f>
        <v>43.96</v>
      </c>
    </row>
    <row r="356" spans="2:14" ht="20.100000000000001" customHeight="1">
      <c r="B356" s="260" t="s">
        <v>296</v>
      </c>
      <c r="D356" s="35" t="str">
        <f>IF(B356=0,0,VLOOKUP(B356,EQUIP,3,FALSE))</f>
        <v>VASSOURA MECÂNICA REBOCÁVEL</v>
      </c>
      <c r="E356" s="36"/>
      <c r="F356" s="36"/>
      <c r="G356" s="36"/>
      <c r="H356" s="37"/>
      <c r="I356" s="55">
        <v>1</v>
      </c>
      <c r="J356" s="39">
        <v>0.55000000000000004</v>
      </c>
      <c r="K356" s="39">
        <v>0.45</v>
      </c>
      <c r="L356" s="215">
        <f>IF(B356=0,0,VLOOKUP(B356,EQUIP,6,FALSE))</f>
        <v>3.83</v>
      </c>
      <c r="M356" s="38">
        <f>IF(B356=0,0,VLOOKUP(B356,EQUIP,7,FALSE))</f>
        <v>0</v>
      </c>
      <c r="N356" s="269">
        <f>ROUND(I356*J356*L356+I356*K356*M356,2)</f>
        <v>2.11</v>
      </c>
    </row>
    <row r="357" spans="2:14" ht="20.100000000000001" customHeight="1">
      <c r="B357" s="260" t="s">
        <v>290</v>
      </c>
      <c r="D357" s="35" t="str">
        <f>IF(B357=0,0,VLOOKUP(B357,EQUIP,3,FALSE))</f>
        <v>TANQUE DE ESTOCAGEM DE ASFALTO - 20.000l</v>
      </c>
      <c r="E357" s="36"/>
      <c r="F357" s="36"/>
      <c r="G357" s="36"/>
      <c r="H357" s="37"/>
      <c r="I357" s="55">
        <v>2</v>
      </c>
      <c r="J357" s="39">
        <v>1</v>
      </c>
      <c r="K357" s="39">
        <v>0</v>
      </c>
      <c r="L357" s="215">
        <f>IF(B357=0,0,VLOOKUP(B357,EQUIP,6,FALSE))</f>
        <v>5.1100000000000003</v>
      </c>
      <c r="M357" s="38">
        <f>IF(B357=0,0,VLOOKUP(B357,EQUIP,7,FALSE))</f>
        <v>0</v>
      </c>
      <c r="N357" s="269">
        <f>ROUND(I357*J357*L357+I357*K357*M357,2)</f>
        <v>10.220000000000001</v>
      </c>
    </row>
    <row r="358" spans="2:14" ht="20.100000000000001" customHeight="1">
      <c r="B358" s="260" t="s">
        <v>275</v>
      </c>
      <c r="D358" s="35" t="str">
        <f>IF(B358=0,0,VLOOKUP(B358,EQUIP,3,FALSE))</f>
        <v>EQUIP. DISTRIBUIÇÃO DE ASFALTO MONTADO EM CAMINHÃO 150 KW</v>
      </c>
      <c r="E358" s="36"/>
      <c r="F358" s="36"/>
      <c r="G358" s="36"/>
      <c r="H358" s="37"/>
      <c r="I358" s="215">
        <v>1</v>
      </c>
      <c r="J358" s="38">
        <v>1</v>
      </c>
      <c r="K358" s="38">
        <v>0</v>
      </c>
      <c r="L358" s="215">
        <f>IF(B358=0,0,VLOOKUP(B358,EQUIP,6,FALSE))</f>
        <v>98.34</v>
      </c>
      <c r="M358" s="38">
        <f>IF(B358=0,0,VLOOKUP(B358,EQUIP,7,FALSE))</f>
        <v>20.47</v>
      </c>
      <c r="N358" s="269">
        <f>ROUND(I358*J358*L358+I358*K358*M358,2)</f>
        <v>98.34</v>
      </c>
    </row>
    <row r="359" spans="2:14" ht="20.100000000000001" customHeight="1">
      <c r="B359" s="260"/>
      <c r="D359" s="35"/>
      <c r="E359" s="36"/>
      <c r="F359" s="36"/>
      <c r="G359" s="36"/>
      <c r="H359" s="37"/>
      <c r="I359" s="55"/>
      <c r="J359" s="39"/>
      <c r="K359" s="39"/>
      <c r="L359" s="55"/>
      <c r="M359" s="39"/>
      <c r="N359" s="269">
        <f>ROUND(I359*J359*L359+I359*K359*M359,2)</f>
        <v>0</v>
      </c>
    </row>
    <row r="360" spans="2:14" ht="20.100000000000001" customHeight="1">
      <c r="D360" s="40"/>
      <c r="E360" s="41"/>
      <c r="F360" s="41"/>
      <c r="G360" s="41"/>
      <c r="H360" s="41"/>
      <c r="I360" s="216"/>
      <c r="J360" s="41"/>
      <c r="K360" s="41"/>
      <c r="L360" s="216"/>
      <c r="M360" s="42" t="s">
        <v>89</v>
      </c>
      <c r="N360" s="270">
        <f>SUM(N355:N358)</f>
        <v>154.63</v>
      </c>
    </row>
    <row r="361" spans="2:14" ht="3.95" customHeight="1">
      <c r="D361" s="43"/>
      <c r="E361" s="44"/>
      <c r="F361" s="44"/>
      <c r="G361" s="45"/>
      <c r="H361" s="44"/>
      <c r="I361" s="217"/>
      <c r="J361" s="46"/>
      <c r="K361" s="47"/>
      <c r="L361" s="48"/>
      <c r="M361" s="48"/>
      <c r="N361" s="271"/>
    </row>
    <row r="362" spans="2:14" ht="20.100000000000001" customHeight="1">
      <c r="D362" s="518" t="s">
        <v>90</v>
      </c>
      <c r="E362" s="519"/>
      <c r="F362" s="519"/>
      <c r="G362" s="519"/>
      <c r="H362" s="519"/>
      <c r="I362" s="519"/>
      <c r="J362" s="513"/>
      <c r="K362" s="50" t="s">
        <v>91</v>
      </c>
      <c r="L362" s="51" t="s">
        <v>92</v>
      </c>
      <c r="M362" s="51" t="s">
        <v>93</v>
      </c>
      <c r="N362" s="272" t="s">
        <v>94</v>
      </c>
    </row>
    <row r="363" spans="2:14" ht="20.100000000000001" customHeight="1">
      <c r="B363" s="260" t="s">
        <v>250</v>
      </c>
      <c r="D363" s="52" t="str">
        <f>IF(B363=0,0,VLOOKUP(B363,MO,2,FALSE))</f>
        <v>ENCARREGADO DE PAVIMENTAÇÃO</v>
      </c>
      <c r="E363" s="53"/>
      <c r="F363" s="53"/>
      <c r="G363" s="53"/>
      <c r="H363" s="53"/>
      <c r="I363" s="36"/>
      <c r="J363" s="54"/>
      <c r="K363" s="39"/>
      <c r="L363" s="55">
        <v>1</v>
      </c>
      <c r="M363" s="55">
        <f>IF(B363=0,0,VLOOKUP(B363,MO,6,FALSE))</f>
        <v>44.786799999999999</v>
      </c>
      <c r="N363" s="273">
        <f>ROUND(L363*M363,2)</f>
        <v>44.79</v>
      </c>
    </row>
    <row r="364" spans="2:14" ht="20.100000000000001" customHeight="1">
      <c r="B364" s="260" t="s">
        <v>251</v>
      </c>
      <c r="D364" s="52" t="str">
        <f>IF(B364=0,0,VLOOKUP(B364,MO,2,FALSE))</f>
        <v>OPERÁRIO</v>
      </c>
      <c r="E364" s="53"/>
      <c r="F364" s="53"/>
      <c r="G364" s="53"/>
      <c r="H364" s="53"/>
      <c r="I364" s="36"/>
      <c r="J364" s="54"/>
      <c r="K364" s="39"/>
      <c r="L364" s="55">
        <v>3</v>
      </c>
      <c r="M364" s="55">
        <f>IF(B364=0,0,VLOOKUP(B364,MO,6,FALSE))</f>
        <v>15.364641700000002</v>
      </c>
      <c r="N364" s="273">
        <f>ROUND(L364*M364,2)</f>
        <v>46.09</v>
      </c>
    </row>
    <row r="365" spans="2:14" ht="20.100000000000001" customHeight="1">
      <c r="B365" s="260"/>
      <c r="D365" s="52" t="s">
        <v>122</v>
      </c>
      <c r="E365" s="53"/>
      <c r="F365" s="53"/>
      <c r="G365" s="53"/>
      <c r="H365" s="53"/>
      <c r="I365" s="36"/>
      <c r="J365" s="54"/>
      <c r="K365" s="56">
        <v>0</v>
      </c>
      <c r="L365" s="57">
        <f>N363+N364</f>
        <v>90.88</v>
      </c>
      <c r="M365" s="55"/>
      <c r="N365" s="273">
        <f>ROUND(L365*K365,2)</f>
        <v>0</v>
      </c>
    </row>
    <row r="366" spans="2:14" ht="20.100000000000001" customHeight="1">
      <c r="D366" s="58"/>
      <c r="E366" s="59"/>
      <c r="F366" s="60"/>
      <c r="G366" s="60"/>
      <c r="H366" s="44"/>
      <c r="I366" s="217"/>
      <c r="J366" s="61"/>
      <c r="K366" s="47"/>
      <c r="L366" s="48"/>
      <c r="M366" s="62" t="s">
        <v>98</v>
      </c>
      <c r="N366" s="270">
        <f>SUM(N363:N365)</f>
        <v>90.88</v>
      </c>
    </row>
    <row r="367" spans="2:14" ht="3.95" customHeight="1">
      <c r="D367" s="43"/>
      <c r="E367" s="44"/>
      <c r="F367" s="44"/>
      <c r="G367" s="44"/>
      <c r="H367" s="44"/>
      <c r="I367" s="217"/>
      <c r="J367" s="61"/>
      <c r="K367" s="47"/>
      <c r="L367" s="48"/>
      <c r="M367" s="48"/>
      <c r="N367" s="271"/>
    </row>
    <row r="368" spans="2:14" ht="20.100000000000001" customHeight="1">
      <c r="D368" s="40"/>
      <c r="E368" s="60"/>
      <c r="F368" s="60"/>
      <c r="G368" s="60"/>
      <c r="H368" s="63"/>
      <c r="I368" s="218"/>
      <c r="J368" s="63"/>
      <c r="K368" s="535" t="s">
        <v>99</v>
      </c>
      <c r="L368" s="562"/>
      <c r="M368" s="536"/>
      <c r="N368" s="275">
        <f>+N360+N366</f>
        <v>245.51</v>
      </c>
    </row>
    <row r="369" spans="2:14" ht="3.95" customHeight="1">
      <c r="D369" s="64"/>
      <c r="E369" s="44"/>
      <c r="F369" s="44"/>
      <c r="G369" s="45"/>
      <c r="H369" s="44"/>
      <c r="I369" s="217"/>
      <c r="J369" s="46"/>
      <c r="K369" s="47"/>
      <c r="L369" s="48"/>
      <c r="M369" s="48"/>
      <c r="N369" s="271"/>
    </row>
    <row r="370" spans="2:14" ht="20.100000000000001" customHeight="1">
      <c r="D370" s="58"/>
      <c r="E370" s="509" t="s">
        <v>100</v>
      </c>
      <c r="F370" s="510"/>
      <c r="G370" s="510"/>
      <c r="H370" s="511"/>
      <c r="I370" s="219">
        <v>1687</v>
      </c>
      <c r="J370" s="48"/>
      <c r="K370" s="586" t="s">
        <v>101</v>
      </c>
      <c r="L370" s="587"/>
      <c r="M370" s="602"/>
      <c r="N370" s="448">
        <f>ROUND(N368/I370,2)</f>
        <v>0.15</v>
      </c>
    </row>
    <row r="371" spans="2:14" ht="3.95" customHeight="1">
      <c r="D371" s="43"/>
      <c r="E371" s="44"/>
      <c r="F371" s="44"/>
      <c r="G371" s="65"/>
      <c r="H371" s="44"/>
      <c r="I371" s="48"/>
      <c r="J371" s="46"/>
      <c r="K371" s="46"/>
      <c r="L371" s="48"/>
      <c r="M371" s="46"/>
      <c r="N371" s="277"/>
    </row>
    <row r="372" spans="2:14" ht="20.100000000000001" customHeight="1">
      <c r="D372" s="49" t="s">
        <v>102</v>
      </c>
      <c r="E372" s="22"/>
      <c r="F372" s="22"/>
      <c r="G372" s="22"/>
      <c r="H372" s="22"/>
      <c r="I372" s="141"/>
      <c r="J372" s="23"/>
      <c r="K372" s="50" t="s">
        <v>103</v>
      </c>
      <c r="L372" s="51" t="s">
        <v>80</v>
      </c>
      <c r="M372" s="51" t="s">
        <v>104</v>
      </c>
      <c r="N372" s="272" t="s">
        <v>105</v>
      </c>
    </row>
    <row r="373" spans="2:14" ht="20.100000000000001" customHeight="1">
      <c r="B373" s="260"/>
      <c r="D373" s="52"/>
      <c r="E373" s="53"/>
      <c r="F373" s="53"/>
      <c r="G373" s="53"/>
      <c r="H373" s="53"/>
      <c r="I373" s="36"/>
      <c r="J373" s="54"/>
      <c r="K373" s="66"/>
      <c r="L373" s="67"/>
      <c r="M373" s="68"/>
      <c r="N373" s="273"/>
    </row>
    <row r="374" spans="2:14" ht="20.100000000000001" customHeight="1">
      <c r="B374" s="260"/>
      <c r="D374" s="52"/>
      <c r="E374" s="53"/>
      <c r="F374" s="53"/>
      <c r="G374" s="53"/>
      <c r="H374" s="53"/>
      <c r="I374" s="36"/>
      <c r="J374" s="54"/>
      <c r="K374" s="66"/>
      <c r="L374" s="67"/>
      <c r="M374" s="75"/>
      <c r="N374" s="445">
        <f>ROUND(L374*M374,2)</f>
        <v>0</v>
      </c>
    </row>
    <row r="375" spans="2:14" ht="20.100000000000001" customHeight="1">
      <c r="D375" s="43"/>
      <c r="E375" s="44"/>
      <c r="F375" s="44"/>
      <c r="G375" s="65"/>
      <c r="H375" s="44"/>
      <c r="I375" s="48"/>
      <c r="J375" s="46"/>
      <c r="K375" s="46"/>
      <c r="L375" s="48"/>
      <c r="M375" s="71" t="s">
        <v>106</v>
      </c>
      <c r="N375" s="441">
        <f>SUM(N374)</f>
        <v>0</v>
      </c>
    </row>
    <row r="376" spans="2:14" ht="3.95" customHeight="1">
      <c r="D376" s="43"/>
      <c r="E376" s="44"/>
      <c r="F376" s="44"/>
      <c r="G376" s="65"/>
      <c r="H376" s="44"/>
      <c r="I376" s="48"/>
      <c r="J376" s="46"/>
      <c r="K376" s="46"/>
      <c r="L376" s="48"/>
      <c r="M376" s="46"/>
      <c r="N376" s="277"/>
    </row>
    <row r="377" spans="2:14" ht="20.100000000000001" customHeight="1">
      <c r="D377" s="527" t="s">
        <v>107</v>
      </c>
      <c r="E377" s="72" t="s">
        <v>2</v>
      </c>
      <c r="F377" s="73"/>
      <c r="G377" s="73"/>
      <c r="H377" s="74"/>
      <c r="I377" s="498" t="s">
        <v>108</v>
      </c>
      <c r="J377" s="499"/>
      <c r="K377" s="531" t="s">
        <v>103</v>
      </c>
      <c r="L377" s="514" t="s">
        <v>80</v>
      </c>
      <c r="M377" s="531" t="s">
        <v>109</v>
      </c>
      <c r="N377" s="529" t="s">
        <v>105</v>
      </c>
    </row>
    <row r="378" spans="2:14" ht="20.100000000000001" customHeight="1">
      <c r="D378" s="528"/>
      <c r="E378" s="512" t="s">
        <v>110</v>
      </c>
      <c r="F378" s="513"/>
      <c r="G378" s="512" t="s">
        <v>111</v>
      </c>
      <c r="H378" s="513"/>
      <c r="I378" s="500"/>
      <c r="J378" s="501"/>
      <c r="K378" s="532"/>
      <c r="L378" s="515"/>
      <c r="M378" s="532"/>
      <c r="N378" s="530"/>
    </row>
    <row r="379" spans="2:14" ht="20.100000000000001" customHeight="1">
      <c r="B379" s="260"/>
      <c r="D379" s="261"/>
      <c r="E379" s="504"/>
      <c r="F379" s="505"/>
      <c r="G379" s="502"/>
      <c r="H379" s="503"/>
      <c r="I379" s="533"/>
      <c r="J379" s="534"/>
      <c r="K379" s="66"/>
      <c r="L379" s="67"/>
      <c r="M379" s="70"/>
      <c r="N379" s="278"/>
    </row>
    <row r="380" spans="2:14" ht="20.100000000000001" customHeight="1">
      <c r="B380" s="260"/>
      <c r="D380" s="261"/>
      <c r="E380" s="504"/>
      <c r="F380" s="505"/>
      <c r="G380" s="502"/>
      <c r="H380" s="503"/>
      <c r="I380" s="533"/>
      <c r="J380" s="534"/>
      <c r="K380" s="66"/>
      <c r="L380" s="67"/>
      <c r="M380" s="70"/>
      <c r="N380" s="278"/>
    </row>
    <row r="381" spans="2:14" ht="20.100000000000001" customHeight="1">
      <c r="D381" s="98"/>
      <c r="E381" s="99"/>
      <c r="F381" s="44"/>
      <c r="G381" s="65"/>
      <c r="H381" s="44"/>
      <c r="I381" s="48"/>
      <c r="J381" s="46"/>
      <c r="K381" s="46"/>
      <c r="L381" s="48"/>
      <c r="M381" s="71" t="s">
        <v>112</v>
      </c>
      <c r="N381" s="441">
        <f>SUM(N379:N380)</f>
        <v>0</v>
      </c>
    </row>
    <row r="382" spans="2:14" ht="3.95" customHeight="1">
      <c r="D382" s="150" t="s">
        <v>157</v>
      </c>
      <c r="E382" s="44"/>
      <c r="F382" s="65"/>
      <c r="G382" s="44"/>
      <c r="H382" s="46"/>
      <c r="I382" s="48"/>
      <c r="J382" s="46"/>
      <c r="K382" s="46"/>
      <c r="L382" s="48"/>
      <c r="M382" s="46"/>
      <c r="N382" s="277"/>
    </row>
    <row r="383" spans="2:14" ht="20.100000000000001" customHeight="1">
      <c r="D383" s="40"/>
      <c r="E383" s="65"/>
      <c r="F383" s="65"/>
      <c r="G383" s="65"/>
      <c r="H383" s="44"/>
      <c r="I383" s="233"/>
      <c r="J383" s="143"/>
      <c r="K383" s="565" t="s">
        <v>129</v>
      </c>
      <c r="L383" s="566"/>
      <c r="M383" s="567"/>
      <c r="N383" s="279">
        <f>+N370+N375+N381</f>
        <v>0.15</v>
      </c>
    </row>
    <row r="384" spans="2:14" ht="20.100000000000001" customHeight="1">
      <c r="D384" s="98"/>
      <c r="E384" s="151"/>
      <c r="F384" s="46"/>
      <c r="G384" s="46"/>
      <c r="H384" s="46"/>
      <c r="I384" s="48"/>
      <c r="J384" s="46"/>
      <c r="K384" s="81" t="s">
        <v>115</v>
      </c>
      <c r="L384" s="296">
        <v>0.16700000000000001</v>
      </c>
      <c r="M384" s="83"/>
      <c r="N384" s="279">
        <f>L384*N383</f>
        <v>2.5049999999999999E-2</v>
      </c>
    </row>
    <row r="385" spans="2:18" ht="20.100000000000001" customHeight="1" thickBot="1">
      <c r="D385" s="102"/>
      <c r="E385" s="145"/>
      <c r="F385" s="85"/>
      <c r="G385" s="85"/>
      <c r="H385" s="85"/>
      <c r="I385" s="225"/>
      <c r="J385" s="85"/>
      <c r="K385" s="86" t="s">
        <v>147</v>
      </c>
      <c r="L385" s="280"/>
      <c r="M385" s="89"/>
      <c r="N385" s="281">
        <f>SUM(N383:N384)</f>
        <v>0.17504999999999998</v>
      </c>
    </row>
    <row r="386" spans="2:18" ht="3.95" customHeight="1" thickBot="1"/>
    <row r="387" spans="2:18" ht="20.100000000000001" customHeight="1">
      <c r="D387" s="555" t="s">
        <v>131</v>
      </c>
      <c r="E387" s="556"/>
      <c r="F387" s="556"/>
      <c r="G387" s="556"/>
      <c r="H387" s="556"/>
      <c r="I387" s="556"/>
      <c r="J387" s="557"/>
      <c r="K387" s="146" t="s">
        <v>103</v>
      </c>
      <c r="L387" s="19" t="s">
        <v>80</v>
      </c>
      <c r="M387" s="19" t="s">
        <v>104</v>
      </c>
      <c r="N387" s="297" t="s">
        <v>105</v>
      </c>
    </row>
    <row r="388" spans="2:18" ht="20.100000000000001" customHeight="1">
      <c r="B388" s="260" t="s">
        <v>361</v>
      </c>
      <c r="D388" s="264" t="str">
        <f>IF(B388=0,0,VLOOKUP(B388,MAT_BET,3,FALSE))</f>
        <v>AQUISIÇÃO EMULSÃO RR-1C</v>
      </c>
      <c r="E388" s="265"/>
      <c r="F388" s="265"/>
      <c r="G388" s="265"/>
      <c r="H388" s="265"/>
      <c r="I388" s="265"/>
      <c r="J388" s="266"/>
      <c r="K388" s="262" t="str">
        <f>IF(B388=0,0,VLOOKUP(B388,MAT_BET,4,FALSE))</f>
        <v>T</v>
      </c>
      <c r="L388" s="267">
        <f>IF(B388=0,0,VLOOKUP(B388,MAT_BET,5,FALSE))</f>
        <v>905</v>
      </c>
      <c r="M388" s="68">
        <v>4.0000000000000002E-4</v>
      </c>
      <c r="N388" s="273">
        <f>ROUND(L388*M388,2)</f>
        <v>0.36</v>
      </c>
    </row>
    <row r="389" spans="2:18" ht="20.100000000000001" customHeight="1">
      <c r="D389" s="114"/>
      <c r="E389" s="59"/>
      <c r="F389" s="59"/>
      <c r="G389" s="59"/>
      <c r="H389" s="59"/>
      <c r="I389" s="91"/>
      <c r="J389" s="115"/>
      <c r="K389" s="81" t="s">
        <v>115</v>
      </c>
      <c r="L389" s="296">
        <v>0.16700000000000001</v>
      </c>
      <c r="M389" s="83"/>
      <c r="N389" s="279">
        <f>L389*N388</f>
        <v>6.012E-2</v>
      </c>
    </row>
    <row r="390" spans="2:18" ht="20.100000000000001" customHeight="1">
      <c r="D390" s="76"/>
      <c r="E390" s="77"/>
      <c r="F390" s="77"/>
      <c r="G390" s="77"/>
      <c r="H390" s="77"/>
      <c r="I390" s="156"/>
      <c r="J390" s="116"/>
      <c r="K390" s="81" t="s">
        <v>132</v>
      </c>
      <c r="L390" s="289"/>
      <c r="M390" s="83"/>
      <c r="N390" s="279">
        <f>N388+N389</f>
        <v>0.42011999999999999</v>
      </c>
    </row>
    <row r="391" spans="2:18" ht="20.100000000000001" customHeight="1">
      <c r="D391" s="117"/>
      <c r="E391" s="118"/>
      <c r="F391" s="118"/>
      <c r="G391" s="118"/>
      <c r="H391" s="118"/>
      <c r="I391" s="94"/>
      <c r="J391" s="119"/>
      <c r="K391" s="113" t="s">
        <v>103</v>
      </c>
      <c r="L391" s="34" t="s">
        <v>80</v>
      </c>
      <c r="M391" s="34" t="s">
        <v>104</v>
      </c>
      <c r="N391" s="288" t="s">
        <v>105</v>
      </c>
    </row>
    <row r="392" spans="2:18" ht="20.100000000000001" customHeight="1">
      <c r="B392" s="260" t="s">
        <v>366</v>
      </c>
      <c r="D392" s="264" t="str">
        <f>IF(B392=0,0,VLOOKUP(B392,MAT_BET,3,FALSE))</f>
        <v>TRANSPORTE EMULSÃO RR-1C</v>
      </c>
      <c r="E392" s="265"/>
      <c r="F392" s="265"/>
      <c r="G392" s="265"/>
      <c r="H392" s="265"/>
      <c r="I392" s="265"/>
      <c r="J392" s="266"/>
      <c r="K392" s="262" t="str">
        <f>IF(B392=0,0,VLOOKUP(B392,MAT_BET,4,FALSE))</f>
        <v>T</v>
      </c>
      <c r="L392" s="267">
        <f>IF(B392=0,0,VLOOKUP(B392,MAT_BET,5,FALSE))</f>
        <v>230.69</v>
      </c>
      <c r="M392" s="68">
        <v>4.0000000000000002E-4</v>
      </c>
      <c r="N392" s="278">
        <f>(L392*M392)</f>
        <v>9.2275999999999997E-2</v>
      </c>
    </row>
    <row r="393" spans="2:18" ht="20.100000000000001" customHeight="1">
      <c r="D393" s="114"/>
      <c r="E393" s="59"/>
      <c r="F393" s="59"/>
      <c r="G393" s="59"/>
      <c r="H393" s="59"/>
      <c r="I393" s="91"/>
      <c r="J393" s="115"/>
      <c r="K393" s="81" t="s">
        <v>115</v>
      </c>
      <c r="L393" s="296">
        <v>0.16700000000000001</v>
      </c>
      <c r="M393" s="83"/>
      <c r="N393" s="444">
        <f>L393*N392</f>
        <v>1.5410092E-2</v>
      </c>
    </row>
    <row r="394" spans="2:18" ht="20.100000000000001" customHeight="1" thickBot="1">
      <c r="D394" s="76"/>
      <c r="E394" s="77"/>
      <c r="F394" s="77"/>
      <c r="G394" s="77"/>
      <c r="H394" s="77"/>
      <c r="I394" s="156"/>
      <c r="J394" s="116"/>
      <c r="K394" s="97" t="s">
        <v>133</v>
      </c>
      <c r="L394" s="290"/>
      <c r="M394" s="120"/>
      <c r="N394" s="291">
        <f>N392+N393</f>
        <v>0.107686092</v>
      </c>
    </row>
    <row r="395" spans="2:18" ht="20.100000000000001" customHeight="1" thickBot="1">
      <c r="D395" s="121"/>
      <c r="E395" s="122"/>
      <c r="F395" s="122"/>
      <c r="G395" s="123"/>
      <c r="H395" s="122"/>
      <c r="I395" s="227"/>
      <c r="J395" s="124"/>
      <c r="K395" s="549" t="s">
        <v>134</v>
      </c>
      <c r="L395" s="549"/>
      <c r="M395" s="550"/>
      <c r="N395" s="292">
        <f>N390+N394</f>
        <v>0.52780609199999995</v>
      </c>
    </row>
    <row r="396" spans="2:18" ht="20.100000000000001" customHeight="1">
      <c r="D396" s="126"/>
      <c r="E396" s="108"/>
      <c r="F396" s="108"/>
      <c r="G396" s="109"/>
      <c r="H396" s="108"/>
      <c r="I396" s="228" t="s">
        <v>114</v>
      </c>
      <c r="J396" s="128"/>
      <c r="K396" s="128"/>
      <c r="L396" s="209">
        <v>0</v>
      </c>
      <c r="M396" s="129"/>
      <c r="N396" s="294">
        <f>(N383+N388+N392)*L396</f>
        <v>0</v>
      </c>
    </row>
    <row r="397" spans="2:18" ht="20.100000000000001" customHeight="1" thickBot="1">
      <c r="D397" s="130"/>
      <c r="E397" s="104"/>
      <c r="F397" s="104"/>
      <c r="G397" s="105"/>
      <c r="H397" s="104"/>
      <c r="I397" s="537" t="s">
        <v>149</v>
      </c>
      <c r="J397" s="538"/>
      <c r="K397" s="538"/>
      <c r="L397" s="538"/>
      <c r="M397" s="131"/>
      <c r="N397" s="295">
        <f>N383+N388+N392+N396</f>
        <v>0.60227600000000003</v>
      </c>
    </row>
    <row r="398" spans="2:18" ht="3.95" customHeight="1">
      <c r="D398" s="98"/>
      <c r="E398" s="99"/>
      <c r="F398" s="44"/>
      <c r="G398" s="65"/>
      <c r="H398" s="44"/>
      <c r="I398" s="48"/>
      <c r="J398" s="46"/>
      <c r="K398" s="46"/>
      <c r="L398" s="48"/>
      <c r="M398" s="100"/>
      <c r="N398" s="282"/>
    </row>
    <row r="399" spans="2:18" ht="20.100000000000001" customHeight="1" thickBot="1">
      <c r="D399" s="137"/>
      <c r="E399" s="138"/>
      <c r="F399" s="138"/>
      <c r="G399" s="138"/>
      <c r="H399" s="138"/>
      <c r="I399" s="232" t="s">
        <v>158</v>
      </c>
      <c r="J399" s="149"/>
      <c r="K399" s="149"/>
      <c r="L399" s="212">
        <v>0</v>
      </c>
      <c r="M399" s="140"/>
      <c r="N399" s="295">
        <f>N397*L399+N397</f>
        <v>0.60227600000000003</v>
      </c>
      <c r="O399" s="210" t="s">
        <v>183</v>
      </c>
      <c r="P399" s="16">
        <v>0.44</v>
      </c>
      <c r="R399" s="90">
        <f>(N399/P399)-1</f>
        <v>0.36880909090909109</v>
      </c>
    </row>
    <row r="402" spans="2:21" ht="20.100000000000001" customHeight="1" thickBot="1"/>
    <row r="403" spans="2:21" ht="20.100000000000001" customHeight="1">
      <c r="D403" s="598">
        <v>50025</v>
      </c>
      <c r="E403" s="599"/>
      <c r="F403" s="542" t="s">
        <v>74</v>
      </c>
      <c r="G403" s="543"/>
      <c r="H403" s="543"/>
      <c r="I403" s="543"/>
      <c r="J403" s="543"/>
      <c r="K403" s="543"/>
      <c r="L403" s="544"/>
      <c r="M403" s="19" t="s">
        <v>75</v>
      </c>
      <c r="N403" s="20" t="s">
        <v>76</v>
      </c>
      <c r="U403" s="132">
        <f>N462</f>
        <v>443.58963969600006</v>
      </c>
    </row>
    <row r="404" spans="2:21" ht="34.5" customHeight="1">
      <c r="D404" s="600"/>
      <c r="E404" s="601"/>
      <c r="F404" s="574" t="s">
        <v>379</v>
      </c>
      <c r="G404" s="575"/>
      <c r="H404" s="575"/>
      <c r="I404" s="575"/>
      <c r="J404" s="575"/>
      <c r="K404" s="575"/>
      <c r="L404" s="576"/>
      <c r="M404" s="24" t="s">
        <v>5</v>
      </c>
      <c r="N404" s="25">
        <f>DATA</f>
        <v>41214</v>
      </c>
    </row>
    <row r="405" spans="2:21" ht="20.100000000000001" customHeight="1">
      <c r="D405" s="561" t="s">
        <v>77</v>
      </c>
      <c r="E405" s="562"/>
      <c r="F405" s="562"/>
      <c r="G405" s="562"/>
      <c r="H405" s="536"/>
      <c r="I405" s="51" t="s">
        <v>78</v>
      </c>
      <c r="J405" s="535" t="s">
        <v>79</v>
      </c>
      <c r="K405" s="536"/>
      <c r="L405" s="535" t="s">
        <v>80</v>
      </c>
      <c r="M405" s="536"/>
      <c r="N405" s="516" t="s">
        <v>81</v>
      </c>
    </row>
    <row r="406" spans="2:21" ht="20.100000000000001" customHeight="1">
      <c r="D406" s="31"/>
      <c r="E406" s="32"/>
      <c r="F406" s="32"/>
      <c r="G406" s="32"/>
      <c r="H406" s="33"/>
      <c r="I406" s="34"/>
      <c r="J406" s="34" t="s">
        <v>82</v>
      </c>
      <c r="K406" s="34" t="s">
        <v>83</v>
      </c>
      <c r="L406" s="34" t="s">
        <v>82</v>
      </c>
      <c r="M406" s="34" t="s">
        <v>84</v>
      </c>
      <c r="N406" s="517"/>
    </row>
    <row r="407" spans="2:21" ht="20.100000000000001" customHeight="1">
      <c r="B407" s="260" t="s">
        <v>292</v>
      </c>
      <c r="D407" s="35" t="str">
        <f t="shared" ref="D407:D412" si="33">IF(B407=0,0,VLOOKUP(B407,EQUIP,3,FALSE))</f>
        <v>TRATOR AGRICOLA (77 KW)</v>
      </c>
      <c r="E407" s="91"/>
      <c r="F407" s="91"/>
      <c r="G407" s="91"/>
      <c r="H407" s="92"/>
      <c r="I407" s="215">
        <v>1</v>
      </c>
      <c r="J407" s="38">
        <v>0.27</v>
      </c>
      <c r="K407" s="38">
        <f t="shared" ref="K407:K412" si="34">1-J407</f>
        <v>0.73</v>
      </c>
      <c r="L407" s="215">
        <f t="shared" ref="L407:L412" si="35">IF(B407=0,0,VLOOKUP(B407,EQUIP,6,FALSE))</f>
        <v>65.799899999999994</v>
      </c>
      <c r="M407" s="38">
        <f t="shared" ref="M407:M412" si="36">IF(B407=0,0,VLOOKUP(B407,EQUIP,7,FALSE))</f>
        <v>17.27</v>
      </c>
      <c r="N407" s="269">
        <f t="shared" ref="N407:N412" si="37">ROUND(I407*J407*L407+I407*K407*M407,2)</f>
        <v>30.37</v>
      </c>
    </row>
    <row r="408" spans="2:21" ht="20.100000000000001" customHeight="1">
      <c r="B408" s="260" t="s">
        <v>288</v>
      </c>
      <c r="D408" s="35" t="str">
        <f t="shared" si="33"/>
        <v>ROLO COMPACTADOR TANDEM VIBRAT. AUTOPROPO. 10,9 T (112 KW)</v>
      </c>
      <c r="E408" s="91"/>
      <c r="F408" s="91"/>
      <c r="G408" s="91"/>
      <c r="H408" s="92"/>
      <c r="I408" s="224">
        <v>1</v>
      </c>
      <c r="J408" s="38">
        <v>0.66</v>
      </c>
      <c r="K408" s="38">
        <f t="shared" si="34"/>
        <v>0.33999999999999997</v>
      </c>
      <c r="L408" s="215">
        <f t="shared" si="35"/>
        <v>112.07</v>
      </c>
      <c r="M408" s="38">
        <f t="shared" si="36"/>
        <v>17.27</v>
      </c>
      <c r="N408" s="269">
        <f t="shared" si="37"/>
        <v>79.84</v>
      </c>
    </row>
    <row r="409" spans="2:21" ht="20.100000000000001" customHeight="1">
      <c r="B409" s="260" t="s">
        <v>284</v>
      </c>
      <c r="D409" s="35" t="str">
        <f t="shared" si="33"/>
        <v>ROLO COMPACTADOR - DE PNEUS AUTOPROPELIDO 21 t (97kW)</v>
      </c>
      <c r="E409" s="91"/>
      <c r="F409" s="91"/>
      <c r="G409" s="91"/>
      <c r="H409" s="92"/>
      <c r="I409" s="224">
        <v>1</v>
      </c>
      <c r="J409" s="38">
        <v>0.64</v>
      </c>
      <c r="K409" s="38">
        <f t="shared" si="34"/>
        <v>0.36</v>
      </c>
      <c r="L409" s="215">
        <f t="shared" si="35"/>
        <v>96.39</v>
      </c>
      <c r="M409" s="38">
        <f t="shared" si="36"/>
        <v>17.27</v>
      </c>
      <c r="N409" s="269">
        <f t="shared" si="37"/>
        <v>67.91</v>
      </c>
    </row>
    <row r="410" spans="2:21" ht="20.100000000000001" customHeight="1">
      <c r="B410" s="260" t="s">
        <v>296</v>
      </c>
      <c r="D410" s="35" t="str">
        <f t="shared" si="33"/>
        <v>VASSOURA MECÂNICA REBOCÁVEL</v>
      </c>
      <c r="E410" s="36"/>
      <c r="F410" s="36"/>
      <c r="G410" s="36"/>
      <c r="H410" s="37"/>
      <c r="I410" s="215">
        <v>1</v>
      </c>
      <c r="J410" s="38">
        <v>0.27</v>
      </c>
      <c r="K410" s="38">
        <f t="shared" si="34"/>
        <v>0.73</v>
      </c>
      <c r="L410" s="215">
        <f t="shared" si="35"/>
        <v>3.83</v>
      </c>
      <c r="M410" s="38">
        <f t="shared" si="36"/>
        <v>0</v>
      </c>
      <c r="N410" s="269">
        <f t="shared" si="37"/>
        <v>1.03</v>
      </c>
    </row>
    <row r="411" spans="2:21" ht="20.100000000000001" customHeight="1">
      <c r="B411" s="260" t="s">
        <v>297</v>
      </c>
      <c r="D411" s="35" t="str">
        <f t="shared" si="33"/>
        <v>VIBRO ACABADORA ASFALTO B.GREENE</v>
      </c>
      <c r="E411" s="36"/>
      <c r="F411" s="36"/>
      <c r="G411" s="36"/>
      <c r="H411" s="37"/>
      <c r="I411" s="215">
        <v>1</v>
      </c>
      <c r="J411" s="38">
        <v>0.89</v>
      </c>
      <c r="K411" s="38">
        <f t="shared" si="34"/>
        <v>0.10999999999999999</v>
      </c>
      <c r="L411" s="215">
        <f t="shared" si="35"/>
        <v>357.07</v>
      </c>
      <c r="M411" s="38">
        <f t="shared" si="36"/>
        <v>227.45358999999999</v>
      </c>
      <c r="N411" s="269">
        <f t="shared" si="37"/>
        <v>342.81</v>
      </c>
    </row>
    <row r="412" spans="2:21" ht="20.100000000000001" customHeight="1">
      <c r="B412" s="260" t="s">
        <v>262</v>
      </c>
      <c r="D412" s="35" t="str">
        <f t="shared" si="33"/>
        <v>CAMINHÃO BASCULANTE 10m3 - 15 T (170 KW)</v>
      </c>
      <c r="E412" s="36"/>
      <c r="F412" s="36"/>
      <c r="G412" s="36"/>
      <c r="H412" s="37"/>
      <c r="I412" s="224">
        <v>1.7</v>
      </c>
      <c r="J412" s="38">
        <v>1</v>
      </c>
      <c r="K412" s="38">
        <f t="shared" si="34"/>
        <v>0</v>
      </c>
      <c r="L412" s="215">
        <f t="shared" si="35"/>
        <v>135.83000000000001</v>
      </c>
      <c r="M412" s="38">
        <f t="shared" si="36"/>
        <v>20.47</v>
      </c>
      <c r="N412" s="269">
        <f t="shared" si="37"/>
        <v>230.91</v>
      </c>
    </row>
    <row r="413" spans="2:21" ht="20.100000000000001" customHeight="1">
      <c r="B413" s="260"/>
      <c r="D413" s="93"/>
      <c r="E413" s="94"/>
      <c r="F413" s="94"/>
      <c r="G413" s="94"/>
      <c r="H413" s="95"/>
      <c r="I413" s="215"/>
      <c r="J413" s="38"/>
      <c r="K413" s="38"/>
      <c r="L413" s="57"/>
      <c r="M413" s="39"/>
      <c r="N413" s="269"/>
    </row>
    <row r="414" spans="2:21" ht="20.100000000000001" customHeight="1">
      <c r="D414" s="40"/>
      <c r="E414" s="41"/>
      <c r="F414" s="41"/>
      <c r="G414" s="41"/>
      <c r="H414" s="41"/>
      <c r="I414" s="216"/>
      <c r="J414" s="41"/>
      <c r="K414" s="41"/>
      <c r="L414" s="216"/>
      <c r="M414" s="42" t="s">
        <v>89</v>
      </c>
      <c r="N414" s="270">
        <f>SUM(N407:N412)</f>
        <v>752.87</v>
      </c>
    </row>
    <row r="415" spans="2:21" ht="3.95" customHeight="1">
      <c r="D415" s="43"/>
      <c r="E415" s="44"/>
      <c r="F415" s="44"/>
      <c r="G415" s="45"/>
      <c r="H415" s="44"/>
      <c r="I415" s="217"/>
      <c r="J415" s="46"/>
      <c r="K415" s="47"/>
      <c r="L415" s="48"/>
      <c r="M415" s="48"/>
      <c r="N415" s="271"/>
    </row>
    <row r="416" spans="2:21" ht="20.100000000000001" customHeight="1">
      <c r="D416" s="518" t="s">
        <v>90</v>
      </c>
      <c r="E416" s="519"/>
      <c r="F416" s="519"/>
      <c r="G416" s="519"/>
      <c r="H416" s="519"/>
      <c r="I416" s="519"/>
      <c r="J416" s="513"/>
      <c r="K416" s="50" t="s">
        <v>91</v>
      </c>
      <c r="L416" s="51" t="s">
        <v>92</v>
      </c>
      <c r="M416" s="51" t="s">
        <v>93</v>
      </c>
      <c r="N416" s="272" t="s">
        <v>94</v>
      </c>
    </row>
    <row r="417" spans="2:16" ht="20.100000000000001" customHeight="1">
      <c r="B417" s="260" t="s">
        <v>250</v>
      </c>
      <c r="D417" s="52" t="str">
        <f>IF(B417=0,0,VLOOKUP(B417,MO,2,FALSE))</f>
        <v>ENCARREGADO DE PAVIMENTAÇÃO</v>
      </c>
      <c r="E417" s="53"/>
      <c r="F417" s="53"/>
      <c r="G417" s="53"/>
      <c r="H417" s="53"/>
      <c r="I417" s="36"/>
      <c r="J417" s="54"/>
      <c r="K417" s="39"/>
      <c r="L417" s="55">
        <v>1</v>
      </c>
      <c r="M417" s="55">
        <f>IF(B417=0,0,VLOOKUP(B417,MO,6,FALSE))</f>
        <v>44.786799999999999</v>
      </c>
      <c r="N417" s="273">
        <f>ROUND(L417*M417,2)</f>
        <v>44.79</v>
      </c>
    </row>
    <row r="418" spans="2:16" ht="20.100000000000001" customHeight="1">
      <c r="B418" s="260" t="s">
        <v>248</v>
      </c>
      <c r="D418" s="52" t="str">
        <f>IF(B418=0,0,VLOOKUP(B418,MO,2,FALSE))</f>
        <v>SERVENTE</v>
      </c>
      <c r="E418" s="53"/>
      <c r="F418" s="53"/>
      <c r="G418" s="53"/>
      <c r="H418" s="53"/>
      <c r="I418" s="36"/>
      <c r="J418" s="54"/>
      <c r="K418" s="39"/>
      <c r="L418" s="55">
        <v>8</v>
      </c>
      <c r="M418" s="55">
        <f>IF(B418=0,0,VLOOKUP(B418,MO,6,FALSE))</f>
        <v>7.9973000000000001</v>
      </c>
      <c r="N418" s="273">
        <f>ROUND(L418*M418,2)</f>
        <v>63.98</v>
      </c>
    </row>
    <row r="419" spans="2:16" ht="20.100000000000001" customHeight="1">
      <c r="B419" s="260"/>
      <c r="D419" s="52" t="s">
        <v>122</v>
      </c>
      <c r="E419" s="53"/>
      <c r="F419" s="53"/>
      <c r="G419" s="53"/>
      <c r="H419" s="53"/>
      <c r="I419" s="36"/>
      <c r="J419" s="54"/>
      <c r="K419" s="56">
        <v>0</v>
      </c>
      <c r="L419" s="57">
        <f>N417+N418</f>
        <v>108.77</v>
      </c>
      <c r="M419" s="55"/>
      <c r="N419" s="445">
        <f>ROUND(L419*K419,2)</f>
        <v>0</v>
      </c>
    </row>
    <row r="420" spans="2:16" ht="20.100000000000001" customHeight="1">
      <c r="D420" s="58"/>
      <c r="E420" s="59"/>
      <c r="F420" s="60"/>
      <c r="G420" s="60"/>
      <c r="H420" s="44"/>
      <c r="I420" s="217"/>
      <c r="J420" s="61"/>
      <c r="K420" s="47"/>
      <c r="L420" s="48"/>
      <c r="M420" s="62" t="s">
        <v>98</v>
      </c>
      <c r="N420" s="270">
        <f>SUM(N417:N419)</f>
        <v>108.77</v>
      </c>
    </row>
    <row r="421" spans="2:16" ht="3.95" customHeight="1">
      <c r="D421" s="43"/>
      <c r="E421" s="44"/>
      <c r="F421" s="44"/>
      <c r="G421" s="44"/>
      <c r="H421" s="44"/>
      <c r="I421" s="217"/>
      <c r="J421" s="61"/>
      <c r="K421" s="47"/>
      <c r="L421" s="48"/>
      <c r="M421" s="48"/>
      <c r="N421" s="271"/>
    </row>
    <row r="422" spans="2:16" ht="20.100000000000001" customHeight="1">
      <c r="D422" s="40"/>
      <c r="E422" s="60"/>
      <c r="F422" s="60"/>
      <c r="G422" s="60"/>
      <c r="H422" s="63"/>
      <c r="I422" s="218"/>
      <c r="J422" s="63"/>
      <c r="K422" s="509" t="s">
        <v>99</v>
      </c>
      <c r="L422" s="510"/>
      <c r="M422" s="511"/>
      <c r="N422" s="275">
        <f>+N414+N420</f>
        <v>861.64</v>
      </c>
    </row>
    <row r="423" spans="2:16" ht="3.95" customHeight="1">
      <c r="D423" s="64"/>
      <c r="E423" s="44"/>
      <c r="F423" s="44"/>
      <c r="G423" s="45"/>
      <c r="H423" s="44"/>
      <c r="I423" s="217"/>
      <c r="J423" s="46"/>
      <c r="K423" s="47"/>
      <c r="L423" s="48"/>
      <c r="M423" s="48"/>
      <c r="N423" s="271"/>
    </row>
    <row r="424" spans="2:16" ht="20.100000000000001" customHeight="1">
      <c r="D424" s="58"/>
      <c r="E424" s="509" t="s">
        <v>100</v>
      </c>
      <c r="F424" s="510"/>
      <c r="G424" s="510"/>
      <c r="H424" s="511"/>
      <c r="I424" s="219">
        <v>75</v>
      </c>
      <c r="J424" s="48"/>
      <c r="K424" s="506" t="s">
        <v>101</v>
      </c>
      <c r="L424" s="507"/>
      <c r="M424" s="507"/>
      <c r="N424" s="276">
        <f>ROUND(N422/I424,2)</f>
        <v>11.49</v>
      </c>
    </row>
    <row r="425" spans="2:16" ht="3.95" customHeight="1">
      <c r="D425" s="43"/>
      <c r="E425" s="44"/>
      <c r="F425" s="44"/>
      <c r="G425" s="65"/>
      <c r="H425" s="44"/>
      <c r="I425" s="48"/>
      <c r="J425" s="46"/>
      <c r="K425" s="46"/>
      <c r="L425" s="48"/>
      <c r="M425" s="46"/>
      <c r="N425" s="277"/>
    </row>
    <row r="426" spans="2:16" ht="20.100000000000001" customHeight="1">
      <c r="D426" s="49" t="s">
        <v>102</v>
      </c>
      <c r="E426" s="22"/>
      <c r="F426" s="22"/>
      <c r="G426" s="22"/>
      <c r="H426" s="22"/>
      <c r="I426" s="141"/>
      <c r="J426" s="23"/>
      <c r="K426" s="50" t="s">
        <v>103</v>
      </c>
      <c r="L426" s="51" t="s">
        <v>80</v>
      </c>
      <c r="M426" s="51" t="s">
        <v>104</v>
      </c>
      <c r="N426" s="272" t="s">
        <v>105</v>
      </c>
    </row>
    <row r="427" spans="2:16" ht="20.100000000000001" customHeight="1">
      <c r="B427" s="260" t="s">
        <v>306</v>
      </c>
      <c r="D427" s="52" t="str">
        <f>IF(B427=0,0,VLOOKUP(B427,MAT,3,FALSE))</f>
        <v>CBUQ - USINAGEM</v>
      </c>
      <c r="E427" s="53"/>
      <c r="F427" s="53"/>
      <c r="G427" s="53"/>
      <c r="H427" s="53"/>
      <c r="I427" s="36"/>
      <c r="J427" s="54"/>
      <c r="K427" s="66" t="str">
        <f>IF(B427=0,0,VLOOKUP(B427,MAT,5,FALSE))</f>
        <v>T</v>
      </c>
      <c r="L427" s="67">
        <f>IF(B427=0,0,VLOOKUP(B427,MAT,6,FALSE))</f>
        <v>40.11</v>
      </c>
      <c r="M427" s="68">
        <v>1</v>
      </c>
      <c r="N427" s="273">
        <f>ROUND(L427*M427,2)</f>
        <v>40.11</v>
      </c>
    </row>
    <row r="428" spans="2:16" ht="20.100000000000001" customHeight="1">
      <c r="B428" s="260"/>
      <c r="D428" s="264">
        <f>IF(B428=0,0,VLOOKUP(B428,MAT,3,FALSE))</f>
        <v>0</v>
      </c>
      <c r="E428" s="53"/>
      <c r="F428" s="53"/>
      <c r="G428" s="53"/>
      <c r="H428" s="53"/>
      <c r="I428" s="36"/>
      <c r="J428" s="54"/>
      <c r="K428" s="262">
        <f>IF(B428=0,0,VLOOKUP(B428,MAT,5,FALSE))</f>
        <v>0</v>
      </c>
      <c r="L428" s="267">
        <f>IF(B428=0,0,VLOOKUP(B428,MAT,6,FALSE))</f>
        <v>0</v>
      </c>
      <c r="M428" s="68"/>
      <c r="N428" s="317">
        <f>(L428*M428)</f>
        <v>0</v>
      </c>
      <c r="P428" s="96"/>
    </row>
    <row r="429" spans="2:16" ht="20.100000000000001" customHeight="1">
      <c r="B429" s="260"/>
      <c r="D429" s="264">
        <f>IF(B429=0,0,VLOOKUP(B429,MAT,3,FALSE))</f>
        <v>0</v>
      </c>
      <c r="E429" s="53"/>
      <c r="F429" s="53"/>
      <c r="G429" s="53"/>
      <c r="H429" s="53"/>
      <c r="I429" s="36"/>
      <c r="J429" s="54"/>
      <c r="K429" s="262">
        <f>IF(B429=0,0,VLOOKUP(B429,MAT,5,FALSE))</f>
        <v>0</v>
      </c>
      <c r="L429" s="267">
        <f>IF(B429=0,0,VLOOKUP(B429,MAT,6,FALSE))</f>
        <v>0</v>
      </c>
      <c r="M429" s="68"/>
      <c r="N429" s="317">
        <f>(L429*M429)</f>
        <v>0</v>
      </c>
    </row>
    <row r="430" spans="2:16" ht="20.100000000000001" customHeight="1">
      <c r="B430" s="260"/>
      <c r="D430" s="264">
        <f>IF(B430=0,0,VLOOKUP(B430,MAT,3,FALSE))</f>
        <v>0</v>
      </c>
      <c r="E430" s="53"/>
      <c r="F430" s="53"/>
      <c r="G430" s="53"/>
      <c r="H430" s="53"/>
      <c r="I430" s="36"/>
      <c r="J430" s="54"/>
      <c r="K430" s="262">
        <f>IF(B430=0,0,VLOOKUP(B430,MAT,5,FALSE))</f>
        <v>0</v>
      </c>
      <c r="L430" s="267">
        <f>IF(B430=0,0,VLOOKUP(B430,MAT,6,FALSE))</f>
        <v>0</v>
      </c>
      <c r="M430" s="68"/>
      <c r="N430" s="317">
        <f>(L430*M430)</f>
        <v>0</v>
      </c>
    </row>
    <row r="431" spans="2:16" ht="20.100000000000001" customHeight="1">
      <c r="B431" s="260"/>
      <c r="D431" s="52"/>
      <c r="E431" s="53"/>
      <c r="F431" s="53"/>
      <c r="G431" s="53"/>
      <c r="H431" s="53"/>
      <c r="I431" s="36"/>
      <c r="J431" s="54"/>
      <c r="K431" s="66"/>
      <c r="L431" s="67"/>
      <c r="M431" s="75"/>
      <c r="N431" s="273"/>
    </row>
    <row r="432" spans="2:16" ht="20.100000000000001" customHeight="1">
      <c r="D432" s="43"/>
      <c r="E432" s="44"/>
      <c r="F432" s="44"/>
      <c r="G432" s="65"/>
      <c r="H432" s="44"/>
      <c r="I432" s="48"/>
      <c r="J432" s="46"/>
      <c r="K432" s="46"/>
      <c r="L432" s="48"/>
      <c r="M432" s="71" t="s">
        <v>106</v>
      </c>
      <c r="N432" s="270">
        <f>SUM(N427:N430)</f>
        <v>40.11</v>
      </c>
    </row>
    <row r="433" spans="2:16" ht="3.95" customHeight="1">
      <c r="D433" s="43"/>
      <c r="E433" s="44"/>
      <c r="F433" s="44"/>
      <c r="G433" s="65"/>
      <c r="H433" s="44"/>
      <c r="I433" s="48"/>
      <c r="J433" s="46"/>
      <c r="K433" s="46"/>
      <c r="L433" s="48"/>
      <c r="M433" s="46"/>
      <c r="N433" s="277"/>
    </row>
    <row r="434" spans="2:16" ht="20.100000000000001" customHeight="1">
      <c r="D434" s="527" t="s">
        <v>107</v>
      </c>
      <c r="E434" s="72" t="s">
        <v>2</v>
      </c>
      <c r="F434" s="73"/>
      <c r="G434" s="73"/>
      <c r="H434" s="74"/>
      <c r="I434" s="498" t="s">
        <v>108</v>
      </c>
      <c r="J434" s="499"/>
      <c r="K434" s="531" t="s">
        <v>103</v>
      </c>
      <c r="L434" s="514" t="s">
        <v>80</v>
      </c>
      <c r="M434" s="531" t="s">
        <v>109</v>
      </c>
      <c r="N434" s="529" t="s">
        <v>105</v>
      </c>
    </row>
    <row r="435" spans="2:16" ht="20.100000000000001" customHeight="1">
      <c r="D435" s="528"/>
      <c r="E435" s="512" t="s">
        <v>127</v>
      </c>
      <c r="F435" s="513"/>
      <c r="G435" s="512" t="s">
        <v>111</v>
      </c>
      <c r="H435" s="513"/>
      <c r="I435" s="500"/>
      <c r="J435" s="501"/>
      <c r="K435" s="532"/>
      <c r="L435" s="515"/>
      <c r="M435" s="532"/>
      <c r="N435" s="530"/>
    </row>
    <row r="436" spans="2:16" ht="20.100000000000001" customHeight="1">
      <c r="B436" s="260" t="s">
        <v>331</v>
      </c>
      <c r="D436" s="261" t="str">
        <f>IF(B436=0,0,VLOOKUP(B436,TRANS,3,FALSE))</f>
        <v xml:space="preserve">CBUQ </v>
      </c>
      <c r="E436" s="504">
        <f>IF(B436=0,0,VLOOKUP(B436,TRANS,5,FALSE))</f>
        <v>0.37</v>
      </c>
      <c r="F436" s="505"/>
      <c r="G436" s="553"/>
      <c r="H436" s="554"/>
      <c r="I436" s="533">
        <v>50</v>
      </c>
      <c r="J436" s="534"/>
      <c r="K436" s="66" t="str">
        <f>IF(B436=0,0,VLOOKUP(B436,TRANS,4,FALSE))</f>
        <v>T.KM</v>
      </c>
      <c r="L436" s="67">
        <f>E436*I436</f>
        <v>18.5</v>
      </c>
      <c r="M436" s="68">
        <v>1</v>
      </c>
      <c r="N436" s="273">
        <f>ROUND(L436*M436,2)</f>
        <v>18.5</v>
      </c>
    </row>
    <row r="437" spans="2:16" ht="20.100000000000001" customHeight="1">
      <c r="B437" s="260" t="s">
        <v>328</v>
      </c>
      <c r="D437" s="261" t="str">
        <f>IF(B437=0,0,VLOOKUP(B437,TRANS,3,FALSE))</f>
        <v>BRITA ( PED - USINA )</v>
      </c>
      <c r="E437" s="504">
        <f>IF(B437=0,0,VLOOKUP(B437,TRANS,5,FALSE))</f>
        <v>0.33</v>
      </c>
      <c r="F437" s="505"/>
      <c r="G437" s="502"/>
      <c r="H437" s="503"/>
      <c r="I437" s="596">
        <v>20</v>
      </c>
      <c r="J437" s="597"/>
      <c r="K437" s="66" t="str">
        <f>IF(B437=0,0,VLOOKUP(B437,TRANS,4,FALSE))</f>
        <v>T.KM</v>
      </c>
      <c r="L437" s="67">
        <f>(E437*I437)+H437</f>
        <v>6.6000000000000005</v>
      </c>
      <c r="M437" s="68">
        <v>0.67049999999999998</v>
      </c>
      <c r="N437" s="278">
        <f>(L437*M437)</f>
        <v>4.4253</v>
      </c>
      <c r="O437" s="96"/>
    </row>
    <row r="438" spans="2:16" ht="20.100000000000001" customHeight="1">
      <c r="B438" s="260" t="s">
        <v>326</v>
      </c>
      <c r="D438" s="261" t="str">
        <f>IF(B438=0,0,VLOOKUP(B438,TRANS,3,FALSE))</f>
        <v>AREIA ( AREAL - USINA )</v>
      </c>
      <c r="E438" s="504">
        <f>IF(B438=0,0,VLOOKUP(B438,TRANS,5,FALSE))</f>
        <v>0.33</v>
      </c>
      <c r="F438" s="505"/>
      <c r="G438" s="545"/>
      <c r="H438" s="546"/>
      <c r="I438" s="596">
        <v>22</v>
      </c>
      <c r="J438" s="597"/>
      <c r="K438" s="66" t="str">
        <f>IF(B438=0,0,VLOOKUP(B438,TRANS,4,FALSE))</f>
        <v>T.KM</v>
      </c>
      <c r="L438" s="67">
        <f>(E438*I438)+H438</f>
        <v>7.2600000000000007</v>
      </c>
      <c r="M438" s="68">
        <v>0.24199999999999999</v>
      </c>
      <c r="N438" s="278">
        <f>(L438*M438)</f>
        <v>1.75692</v>
      </c>
    </row>
    <row r="439" spans="2:16" ht="20.100000000000001" customHeight="1">
      <c r="B439" s="260" t="s">
        <v>334</v>
      </c>
      <c r="D439" s="261" t="str">
        <f>IF(B439=0,0,VLOOKUP(B439,TRANS,3,FALSE))</f>
        <v>FILLER</v>
      </c>
      <c r="E439" s="504">
        <f>IF(B439=0,0,VLOOKUP(B439,TRANS,5,FALSE))</f>
        <v>0.24</v>
      </c>
      <c r="F439" s="505"/>
      <c r="G439" s="545"/>
      <c r="H439" s="546"/>
      <c r="I439" s="596">
        <v>50</v>
      </c>
      <c r="J439" s="597"/>
      <c r="K439" s="262" t="str">
        <f>IF(B439=0,0,VLOOKUP(B439,TRANS,4,FALSE))</f>
        <v>T.KM</v>
      </c>
      <c r="L439" s="67">
        <f>(E439*I439)+H439</f>
        <v>12</v>
      </c>
      <c r="M439" s="70">
        <v>2.8000000000000001E-2</v>
      </c>
      <c r="N439" s="278">
        <f>L439*M439</f>
        <v>0.33600000000000002</v>
      </c>
    </row>
    <row r="440" spans="2:16" ht="20.100000000000001" customHeight="1">
      <c r="D440" s="98"/>
      <c r="E440" s="99"/>
      <c r="F440" s="44"/>
      <c r="G440" s="65"/>
      <c r="H440" s="44"/>
      <c r="I440" s="48"/>
      <c r="J440" s="46"/>
      <c r="K440" s="46"/>
      <c r="L440" s="48"/>
      <c r="M440" s="71" t="s">
        <v>112</v>
      </c>
      <c r="N440" s="270">
        <f>SUM(N436:N439)</f>
        <v>25.018219999999999</v>
      </c>
      <c r="P440" s="96"/>
    </row>
    <row r="441" spans="2:16" ht="3.95" customHeight="1">
      <c r="D441" s="98"/>
      <c r="E441" s="99"/>
      <c r="F441" s="44"/>
      <c r="G441" s="65"/>
      <c r="H441" s="44"/>
      <c r="I441" s="48"/>
      <c r="J441" s="46"/>
      <c r="K441" s="46"/>
      <c r="L441" s="48"/>
      <c r="M441" s="100"/>
      <c r="N441" s="282"/>
      <c r="P441" s="96"/>
    </row>
    <row r="442" spans="2:16" ht="20.100000000000001" customHeight="1">
      <c r="D442" s="98"/>
      <c r="E442" s="99"/>
      <c r="F442" s="44"/>
      <c r="G442" s="65"/>
      <c r="H442" s="44"/>
      <c r="I442" s="48"/>
      <c r="J442" s="46"/>
      <c r="K442" s="565" t="s">
        <v>129</v>
      </c>
      <c r="L442" s="566"/>
      <c r="M442" s="567"/>
      <c r="N442" s="279">
        <f>+N424+N432+N440</f>
        <v>76.618220000000008</v>
      </c>
      <c r="P442" s="101"/>
    </row>
    <row r="443" spans="2:16" ht="20.100000000000001" customHeight="1">
      <c r="D443" s="98"/>
      <c r="E443" s="99"/>
      <c r="F443" s="44"/>
      <c r="G443" s="65"/>
      <c r="H443" s="44"/>
      <c r="I443" s="48"/>
      <c r="J443" s="46"/>
      <c r="K443" s="81" t="s">
        <v>115</v>
      </c>
      <c r="L443" s="283">
        <v>0.16699999999999998</v>
      </c>
      <c r="M443" s="83"/>
      <c r="N443" s="279">
        <f>L443*N442</f>
        <v>12.795242739999999</v>
      </c>
    </row>
    <row r="444" spans="2:16" ht="20.100000000000001" customHeight="1" thickBot="1">
      <c r="D444" s="102"/>
      <c r="E444" s="103"/>
      <c r="F444" s="104"/>
      <c r="G444" s="105"/>
      <c r="H444" s="104"/>
      <c r="I444" s="225"/>
      <c r="J444" s="85"/>
      <c r="K444" s="86" t="s">
        <v>130</v>
      </c>
      <c r="L444" s="280"/>
      <c r="M444" s="89"/>
      <c r="N444" s="281">
        <f>N442+N443</f>
        <v>89.41346274</v>
      </c>
    </row>
    <row r="445" spans="2:16" ht="3.95" customHeight="1">
      <c r="D445" s="106"/>
      <c r="E445" s="107"/>
      <c r="F445" s="108"/>
      <c r="G445" s="109"/>
      <c r="H445" s="108"/>
      <c r="I445" s="226"/>
      <c r="J445" s="110"/>
      <c r="K445" s="111"/>
      <c r="L445" s="284"/>
      <c r="M445" s="111"/>
      <c r="N445" s="285"/>
    </row>
    <row r="446" spans="2:16" ht="3.95" customHeight="1" thickBot="1">
      <c r="D446" s="102"/>
      <c r="E446" s="103"/>
      <c r="F446" s="104"/>
      <c r="G446" s="105"/>
      <c r="H446" s="104"/>
      <c r="I446" s="225"/>
      <c r="J446" s="85"/>
      <c r="K446" s="112"/>
      <c r="L446" s="286"/>
      <c r="M446" s="112"/>
      <c r="N446" s="287"/>
    </row>
    <row r="447" spans="2:16" ht="20.100000000000001" customHeight="1">
      <c r="D447" s="571" t="s">
        <v>131</v>
      </c>
      <c r="E447" s="572"/>
      <c r="F447" s="572"/>
      <c r="G447" s="572"/>
      <c r="H447" s="572"/>
      <c r="I447" s="572"/>
      <c r="J447" s="573"/>
      <c r="K447" s="113" t="s">
        <v>103</v>
      </c>
      <c r="L447" s="34" t="s">
        <v>80</v>
      </c>
      <c r="M447" s="34" t="s">
        <v>104</v>
      </c>
      <c r="N447" s="288" t="s">
        <v>105</v>
      </c>
    </row>
    <row r="448" spans="2:16" ht="20.100000000000001" customHeight="1">
      <c r="B448" s="260" t="s">
        <v>357</v>
      </c>
      <c r="D448" s="264" t="str">
        <f>IF(B448=0,0,VLOOKUP(B448,MAT_BET,3,FALSE))</f>
        <v>AQUISIÇÃO CAP -20</v>
      </c>
      <c r="E448" s="265"/>
      <c r="F448" s="265"/>
      <c r="G448" s="265"/>
      <c r="H448" s="265"/>
      <c r="I448" s="265"/>
      <c r="J448" s="266"/>
      <c r="K448" s="262" t="str">
        <f>IF(B448=0,0,VLOOKUP(B448,MAT_BET,4,FALSE))</f>
        <v>T</v>
      </c>
      <c r="L448" s="67">
        <f>IF(B448=0,0,VLOOKUP(B448,MAT_BET,5,FALSE))</f>
        <v>1132</v>
      </c>
      <c r="M448" s="68">
        <v>0.06</v>
      </c>
      <c r="N448" s="273">
        <f>ROUND(L448*M448,2)</f>
        <v>67.92</v>
      </c>
    </row>
    <row r="449" spans="2:18" ht="20.100000000000001" customHeight="1">
      <c r="D449" s="114"/>
      <c r="E449" s="59"/>
      <c r="F449" s="59"/>
      <c r="G449" s="59"/>
      <c r="H449" s="59"/>
      <c r="I449" s="91"/>
      <c r="J449" s="115"/>
      <c r="K449" s="81" t="s">
        <v>115</v>
      </c>
      <c r="L449" s="283">
        <v>0.16699999999999998</v>
      </c>
      <c r="M449" s="83"/>
      <c r="N449" s="279">
        <f>L449*N448</f>
        <v>11.342639999999999</v>
      </c>
    </row>
    <row r="450" spans="2:18" ht="20.100000000000001" customHeight="1">
      <c r="D450" s="76"/>
      <c r="E450" s="77"/>
      <c r="F450" s="77"/>
      <c r="G450" s="77"/>
      <c r="H450" s="77"/>
      <c r="I450" s="156"/>
      <c r="J450" s="116"/>
      <c r="K450" s="81" t="s">
        <v>132</v>
      </c>
      <c r="L450" s="289"/>
      <c r="M450" s="83"/>
      <c r="N450" s="279">
        <f>N448+N449</f>
        <v>79.262640000000005</v>
      </c>
    </row>
    <row r="451" spans="2:18" ht="20.100000000000001" customHeight="1">
      <c r="D451" s="117"/>
      <c r="E451" s="118"/>
      <c r="F451" s="118"/>
      <c r="G451" s="118"/>
      <c r="H451" s="118"/>
      <c r="I451" s="94"/>
      <c r="J451" s="119"/>
      <c r="K451" s="113" t="s">
        <v>103</v>
      </c>
      <c r="L451" s="34" t="s">
        <v>80</v>
      </c>
      <c r="M451" s="34" t="s">
        <v>104</v>
      </c>
      <c r="N451" s="288" t="s">
        <v>105</v>
      </c>
    </row>
    <row r="452" spans="2:18" ht="20.100000000000001" customHeight="1">
      <c r="B452" s="260" t="s">
        <v>363</v>
      </c>
      <c r="D452" s="264" t="str">
        <f>IF(B452=0,0,VLOOKUP(B452,MAT_BET,3,FALSE))</f>
        <v>TRANSPORTE CAP - 20</v>
      </c>
      <c r="E452" s="265"/>
      <c r="F452" s="265"/>
      <c r="G452" s="265"/>
      <c r="H452" s="265"/>
      <c r="I452" s="265"/>
      <c r="J452" s="266"/>
      <c r="K452" s="262" t="str">
        <f>IF(B452=0,0,VLOOKUP(B452,MAT_BET,4,FALSE))</f>
        <v>T</v>
      </c>
      <c r="L452" s="67">
        <f>IF(B452=0,0,VLOOKUP(B452,MAT_BET,5,FALSE))</f>
        <v>230.69</v>
      </c>
      <c r="M452" s="68">
        <v>0.06</v>
      </c>
      <c r="N452" s="278">
        <f>(L452*M452)</f>
        <v>13.8414</v>
      </c>
    </row>
    <row r="453" spans="2:18" ht="20.100000000000001" customHeight="1">
      <c r="D453" s="114"/>
      <c r="E453" s="59"/>
      <c r="F453" s="59"/>
      <c r="G453" s="59"/>
      <c r="H453" s="59"/>
      <c r="I453" s="91"/>
      <c r="J453" s="115"/>
      <c r="K453" s="81" t="s">
        <v>115</v>
      </c>
      <c r="L453" s="283">
        <v>0.16699999999999998</v>
      </c>
      <c r="M453" s="83"/>
      <c r="N453" s="279">
        <f>L453*N452</f>
        <v>2.3115137999999997</v>
      </c>
    </row>
    <row r="454" spans="2:18" ht="20.100000000000001" customHeight="1" thickBot="1">
      <c r="D454" s="76"/>
      <c r="E454" s="77"/>
      <c r="F454" s="77"/>
      <c r="G454" s="77"/>
      <c r="H454" s="77"/>
      <c r="I454" s="156"/>
      <c r="J454" s="116"/>
      <c r="K454" s="97" t="s">
        <v>133</v>
      </c>
      <c r="L454" s="290"/>
      <c r="M454" s="120"/>
      <c r="N454" s="291">
        <f>N452+N453</f>
        <v>16.1529138</v>
      </c>
    </row>
    <row r="455" spans="2:18" ht="20.100000000000001" customHeight="1" thickBot="1">
      <c r="D455" s="121"/>
      <c r="E455" s="122"/>
      <c r="F455" s="122"/>
      <c r="G455" s="123"/>
      <c r="H455" s="122"/>
      <c r="I455" s="227"/>
      <c r="J455" s="124"/>
      <c r="K455" s="549" t="s">
        <v>134</v>
      </c>
      <c r="L455" s="549"/>
      <c r="M455" s="550"/>
      <c r="N455" s="292">
        <f>N450+N454</f>
        <v>95.415553799999998</v>
      </c>
    </row>
    <row r="456" spans="2:18" ht="3.95" customHeight="1" thickBot="1">
      <c r="D456" s="43"/>
      <c r="E456" s="44"/>
      <c r="F456" s="44"/>
      <c r="G456" s="65"/>
      <c r="H456" s="44"/>
      <c r="I456" s="48"/>
      <c r="J456" s="46"/>
      <c r="K456" s="125"/>
      <c r="L456" s="293"/>
      <c r="M456" s="125"/>
      <c r="N456" s="282"/>
    </row>
    <row r="457" spans="2:18" ht="20.100000000000001" customHeight="1">
      <c r="D457" s="126"/>
      <c r="E457" s="108"/>
      <c r="F457" s="108"/>
      <c r="G457" s="109"/>
      <c r="H457" s="108"/>
      <c r="I457" s="228" t="s">
        <v>114</v>
      </c>
      <c r="J457" s="128"/>
      <c r="K457" s="128"/>
      <c r="L457" s="209">
        <v>0</v>
      </c>
      <c r="M457" s="129"/>
      <c r="N457" s="449">
        <f>(N442+N448+N452)*L457</f>
        <v>0</v>
      </c>
    </row>
    <row r="458" spans="2:18" ht="20.100000000000001" customHeight="1">
      <c r="D458" s="43"/>
      <c r="E458" s="44"/>
      <c r="F458" s="44"/>
      <c r="G458" s="65"/>
      <c r="H458" s="44"/>
      <c r="I458" s="563" t="s">
        <v>135</v>
      </c>
      <c r="J458" s="564"/>
      <c r="K458" s="564"/>
      <c r="L458" s="564"/>
      <c r="M458" s="125"/>
      <c r="N458" s="282">
        <f>N442+N448+N452+N457</f>
        <v>158.37962000000002</v>
      </c>
    </row>
    <row r="459" spans="2:18" ht="20.100000000000001" customHeight="1" thickBot="1">
      <c r="D459" s="130"/>
      <c r="E459" s="104"/>
      <c r="F459" s="104"/>
      <c r="G459" s="105"/>
      <c r="H459" s="104"/>
      <c r="I459" s="537" t="s">
        <v>136</v>
      </c>
      <c r="J459" s="538"/>
      <c r="K459" s="538"/>
      <c r="L459" s="538"/>
      <c r="M459" s="131"/>
      <c r="N459" s="295">
        <f>N458*2.4</f>
        <v>380.11108800000005</v>
      </c>
    </row>
    <row r="460" spans="2:18" ht="3.95" customHeight="1" thickBot="1">
      <c r="D460" s="98"/>
      <c r="E460" s="99"/>
      <c r="F460" s="44"/>
      <c r="G460" s="65"/>
      <c r="H460" s="44"/>
      <c r="I460" s="48"/>
      <c r="J460" s="46"/>
      <c r="K460" s="46"/>
      <c r="L460" s="48"/>
      <c r="M460" s="100"/>
      <c r="N460" s="282"/>
      <c r="P460" s="132"/>
    </row>
    <row r="461" spans="2:18" ht="20.100000000000001" customHeight="1">
      <c r="D461" s="133"/>
      <c r="E461" s="134"/>
      <c r="F461" s="134"/>
      <c r="G461" s="134"/>
      <c r="H461" s="134"/>
      <c r="I461" s="229" t="s">
        <v>137</v>
      </c>
      <c r="J461" s="135"/>
      <c r="K461" s="135"/>
      <c r="L461" s="209">
        <v>0</v>
      </c>
      <c r="M461" s="136"/>
      <c r="N461" s="294">
        <f>(N458*L449)+N458</f>
        <v>184.82901654000003</v>
      </c>
    </row>
    <row r="462" spans="2:18" ht="20.100000000000001" customHeight="1" thickBot="1">
      <c r="D462" s="137"/>
      <c r="E462" s="138"/>
      <c r="F462" s="138"/>
      <c r="G462" s="138"/>
      <c r="H462" s="138"/>
      <c r="I462" s="230" t="s">
        <v>138</v>
      </c>
      <c r="J462" s="139"/>
      <c r="K462" s="139"/>
      <c r="L462" s="212">
        <v>0</v>
      </c>
      <c r="M462" s="140"/>
      <c r="N462" s="295">
        <f>N461*2.4</f>
        <v>443.58963969600006</v>
      </c>
      <c r="O462" s="210" t="s">
        <v>183</v>
      </c>
      <c r="P462" s="16">
        <v>346.87</v>
      </c>
      <c r="R462" s="90">
        <f>(N462/P462)-1</f>
        <v>0.27883541296739422</v>
      </c>
    </row>
    <row r="465" spans="2:21" ht="20.100000000000001" customHeight="1" thickBot="1"/>
    <row r="466" spans="2:21" ht="20.100000000000001" customHeight="1">
      <c r="D466" s="598" t="s">
        <v>409</v>
      </c>
      <c r="E466" s="599"/>
      <c r="F466" s="524" t="s">
        <v>74</v>
      </c>
      <c r="G466" s="525"/>
      <c r="H466" s="525"/>
      <c r="I466" s="525"/>
      <c r="J466" s="525"/>
      <c r="K466" s="525"/>
      <c r="L466" s="526"/>
      <c r="M466" s="19" t="s">
        <v>75</v>
      </c>
      <c r="N466" s="20" t="s">
        <v>76</v>
      </c>
      <c r="U466" s="132">
        <f>N503</f>
        <v>10.77</v>
      </c>
    </row>
    <row r="467" spans="2:21" ht="20.100000000000001" customHeight="1">
      <c r="D467" s="600"/>
      <c r="E467" s="601"/>
      <c r="F467" s="512" t="s">
        <v>412</v>
      </c>
      <c r="G467" s="519"/>
      <c r="H467" s="519"/>
      <c r="I467" s="519"/>
      <c r="J467" s="519"/>
      <c r="K467" s="519"/>
      <c r="L467" s="513"/>
      <c r="M467" s="24" t="s">
        <v>5</v>
      </c>
      <c r="N467" s="25">
        <f>DATA</f>
        <v>41214</v>
      </c>
    </row>
    <row r="468" spans="2:21" ht="20.100000000000001" customHeight="1">
      <c r="D468" s="26" t="s">
        <v>77</v>
      </c>
      <c r="E468" s="27"/>
      <c r="F468" s="27"/>
      <c r="G468" s="27"/>
      <c r="H468" s="28"/>
      <c r="I468" s="214" t="s">
        <v>78</v>
      </c>
      <c r="J468" s="509" t="s">
        <v>79</v>
      </c>
      <c r="K468" s="511"/>
      <c r="L468" s="535" t="s">
        <v>80</v>
      </c>
      <c r="M468" s="536"/>
      <c r="N468" s="516" t="s">
        <v>81</v>
      </c>
    </row>
    <row r="469" spans="2:21" ht="20.100000000000001" customHeight="1">
      <c r="D469" s="31"/>
      <c r="E469" s="32"/>
      <c r="F469" s="32"/>
      <c r="G469" s="32"/>
      <c r="H469" s="33"/>
      <c r="I469" s="34"/>
      <c r="J469" s="51" t="s">
        <v>82</v>
      </c>
      <c r="K469" s="51" t="s">
        <v>83</v>
      </c>
      <c r="L469" s="51" t="s">
        <v>82</v>
      </c>
      <c r="M469" s="51" t="s">
        <v>84</v>
      </c>
      <c r="N469" s="517"/>
    </row>
    <row r="470" spans="2:21" ht="20.100000000000001" customHeight="1">
      <c r="B470" s="260" t="s">
        <v>415</v>
      </c>
      <c r="D470" s="264" t="str">
        <f t="shared" ref="D470:D476" si="38">IF(B470=0,0,VLOOKUP(B470,EQUIP,3,FALSE))</f>
        <v>TRATOR DE ESTEIRAS - COM LÂMINA (104 KW)</v>
      </c>
      <c r="E470" s="265"/>
      <c r="F470" s="265"/>
      <c r="G470" s="265"/>
      <c r="H470" s="266"/>
      <c r="I470" s="318">
        <v>1</v>
      </c>
      <c r="J470" s="318">
        <v>1</v>
      </c>
      <c r="K470" s="318">
        <f>1-J470</f>
        <v>0</v>
      </c>
      <c r="L470" s="318">
        <f t="shared" ref="L470:L476" si="39">IF(B470=0,0,VLOOKUP(B470,EQUIP,6,FALSE))</f>
        <v>334.66</v>
      </c>
      <c r="M470" s="318">
        <f t="shared" ref="M470:M476" si="40">IF(B470=0,0,VLOOKUP(B470,EQUIP,7,FALSE))</f>
        <v>22.39</v>
      </c>
      <c r="N470" s="319">
        <f t="shared" ref="N470:N476" si="41">ROUND(I470*J470*L470+I470*K470*M470,2)</f>
        <v>334.66</v>
      </c>
    </row>
    <row r="471" spans="2:21" ht="20.100000000000001" customHeight="1">
      <c r="B471" s="260" t="s">
        <v>281</v>
      </c>
      <c r="D471" s="264" t="str">
        <f t="shared" si="38"/>
        <v>MOTONIVELADORA - 93 KW</v>
      </c>
      <c r="E471" s="265"/>
      <c r="F471" s="265"/>
      <c r="G471" s="265"/>
      <c r="H471" s="266"/>
      <c r="I471" s="263">
        <v>1</v>
      </c>
      <c r="J471" s="263">
        <v>0.78</v>
      </c>
      <c r="K471" s="318">
        <f>1-J471</f>
        <v>0.21999999999999997</v>
      </c>
      <c r="L471" s="318">
        <f t="shared" si="39"/>
        <v>153.06</v>
      </c>
      <c r="M471" s="318">
        <f t="shared" si="40"/>
        <v>22.39</v>
      </c>
      <c r="N471" s="319">
        <f t="shared" si="41"/>
        <v>124.31</v>
      </c>
    </row>
    <row r="472" spans="2:21" ht="20.100000000000001" customHeight="1">
      <c r="B472" s="260" t="s">
        <v>286</v>
      </c>
      <c r="D472" s="264" t="str">
        <f t="shared" si="38"/>
        <v>CARREGADEIRA DE PNEUS - 3,1 m³ (127KW)</v>
      </c>
      <c r="E472" s="265"/>
      <c r="F472" s="265"/>
      <c r="G472" s="265"/>
      <c r="H472" s="266"/>
      <c r="I472" s="318">
        <v>1</v>
      </c>
      <c r="J472" s="318">
        <v>0.77</v>
      </c>
      <c r="K472" s="318">
        <f>1-J472</f>
        <v>0.22999999999999998</v>
      </c>
      <c r="L472" s="318">
        <f t="shared" si="39"/>
        <v>185.29</v>
      </c>
      <c r="M472" s="318">
        <f t="shared" si="40"/>
        <v>22.39</v>
      </c>
      <c r="N472" s="319">
        <f t="shared" si="41"/>
        <v>147.82</v>
      </c>
    </row>
    <row r="473" spans="2:21" ht="20.100000000000001" customHeight="1">
      <c r="B473" s="260"/>
      <c r="D473" s="264">
        <f t="shared" si="38"/>
        <v>0</v>
      </c>
      <c r="E473" s="265"/>
      <c r="F473" s="265"/>
      <c r="G473" s="265"/>
      <c r="H473" s="266"/>
      <c r="I473" s="263"/>
      <c r="J473" s="263"/>
      <c r="K473" s="263"/>
      <c r="L473" s="318">
        <f t="shared" si="39"/>
        <v>0</v>
      </c>
      <c r="M473" s="318">
        <f t="shared" si="40"/>
        <v>0</v>
      </c>
      <c r="N473" s="319">
        <f t="shared" si="41"/>
        <v>0</v>
      </c>
    </row>
    <row r="474" spans="2:21" ht="20.100000000000001" customHeight="1">
      <c r="B474" s="260"/>
      <c r="D474" s="264">
        <f t="shared" si="38"/>
        <v>0</v>
      </c>
      <c r="E474" s="265"/>
      <c r="F474" s="265"/>
      <c r="G474" s="265"/>
      <c r="H474" s="266"/>
      <c r="I474" s="263"/>
      <c r="J474" s="263"/>
      <c r="K474" s="263"/>
      <c r="L474" s="318">
        <f t="shared" si="39"/>
        <v>0</v>
      </c>
      <c r="M474" s="318">
        <f t="shared" si="40"/>
        <v>0</v>
      </c>
      <c r="N474" s="319">
        <f t="shared" si="41"/>
        <v>0</v>
      </c>
    </row>
    <row r="475" spans="2:21" ht="20.100000000000001" customHeight="1">
      <c r="B475" s="260"/>
      <c r="D475" s="264">
        <f t="shared" si="38"/>
        <v>0</v>
      </c>
      <c r="E475" s="265"/>
      <c r="F475" s="265"/>
      <c r="G475" s="265"/>
      <c r="H475" s="266"/>
      <c r="I475" s="263"/>
      <c r="J475" s="318"/>
      <c r="K475" s="318"/>
      <c r="L475" s="318">
        <f t="shared" si="39"/>
        <v>0</v>
      </c>
      <c r="M475" s="318">
        <f t="shared" si="40"/>
        <v>0</v>
      </c>
      <c r="N475" s="319">
        <f t="shared" si="41"/>
        <v>0</v>
      </c>
    </row>
    <row r="476" spans="2:21" ht="20.100000000000001" customHeight="1">
      <c r="B476" s="260"/>
      <c r="D476" s="264">
        <f t="shared" si="38"/>
        <v>0</v>
      </c>
      <c r="E476" s="265"/>
      <c r="F476" s="265"/>
      <c r="G476" s="265"/>
      <c r="H476" s="266"/>
      <c r="I476" s="263"/>
      <c r="J476" s="318"/>
      <c r="K476" s="318"/>
      <c r="L476" s="318">
        <f t="shared" si="39"/>
        <v>0</v>
      </c>
      <c r="M476" s="318">
        <f t="shared" si="40"/>
        <v>0</v>
      </c>
      <c r="N476" s="319">
        <f t="shared" si="41"/>
        <v>0</v>
      </c>
    </row>
    <row r="477" spans="2:21" ht="20.100000000000001" customHeight="1">
      <c r="D477" s="155"/>
      <c r="E477" s="156"/>
      <c r="F477" s="156"/>
      <c r="G477" s="156"/>
      <c r="H477" s="156"/>
      <c r="I477" s="235"/>
      <c r="J477" s="157"/>
      <c r="K477" s="157"/>
      <c r="L477" s="216"/>
      <c r="M477" s="42" t="s">
        <v>89</v>
      </c>
      <c r="N477" s="270">
        <f>SUM(N470:N476)</f>
        <v>606.79</v>
      </c>
    </row>
    <row r="478" spans="2:21" ht="3.95" customHeight="1">
      <c r="D478" s="158"/>
      <c r="E478" s="159"/>
      <c r="F478" s="159"/>
      <c r="G478" s="160"/>
      <c r="H478" s="159"/>
      <c r="I478" s="236"/>
      <c r="J478" s="161"/>
      <c r="K478" s="162"/>
      <c r="L478" s="163"/>
      <c r="M478" s="163"/>
      <c r="N478" s="300"/>
    </row>
    <row r="479" spans="2:21" ht="20.100000000000001" customHeight="1">
      <c r="D479" s="518" t="s">
        <v>90</v>
      </c>
      <c r="E479" s="519"/>
      <c r="F479" s="519"/>
      <c r="G479" s="519"/>
      <c r="H479" s="519"/>
      <c r="I479" s="519"/>
      <c r="J479" s="513"/>
      <c r="K479" s="50" t="s">
        <v>91</v>
      </c>
      <c r="L479" s="51" t="s">
        <v>92</v>
      </c>
      <c r="M479" s="51" t="s">
        <v>93</v>
      </c>
      <c r="N479" s="272" t="s">
        <v>94</v>
      </c>
    </row>
    <row r="480" spans="2:21" ht="20.100000000000001" customHeight="1">
      <c r="B480" s="260" t="s">
        <v>247</v>
      </c>
      <c r="D480" s="264" t="str">
        <f>IF(B480=0,0,VLOOKUP(B480,MO,2,FALSE))</f>
        <v>ENCARREGADO DE TURMA</v>
      </c>
      <c r="E480" s="53"/>
      <c r="F480" s="53"/>
      <c r="G480" s="53"/>
      <c r="H480" s="53"/>
      <c r="I480" s="36"/>
      <c r="J480" s="54"/>
      <c r="K480" s="152"/>
      <c r="L480" s="164">
        <v>1</v>
      </c>
      <c r="M480" s="263">
        <f>IF(B480=0,0,VLOOKUP(B480,MO,6,FALSE))</f>
        <v>27</v>
      </c>
      <c r="N480" s="316">
        <f>ROUND(L480*M480,2)</f>
        <v>27</v>
      </c>
    </row>
    <row r="481" spans="2:14" ht="20.100000000000001" customHeight="1">
      <c r="B481" s="260" t="s">
        <v>248</v>
      </c>
      <c r="D481" s="264" t="str">
        <f>IF(B481=0,0,VLOOKUP(B481,MO,2,FALSE))</f>
        <v>SERVENTE</v>
      </c>
      <c r="E481" s="53"/>
      <c r="F481" s="53"/>
      <c r="G481" s="53"/>
      <c r="H481" s="53"/>
      <c r="I481" s="36"/>
      <c r="J481" s="54"/>
      <c r="K481" s="152"/>
      <c r="L481" s="164">
        <v>3</v>
      </c>
      <c r="M481" s="263">
        <f>IF(B481=0,0,VLOOKUP(B481,MO,6,FALSE))</f>
        <v>7.9973000000000001</v>
      </c>
      <c r="N481" s="316">
        <f>ROUND(L481*M481,2)</f>
        <v>23.99</v>
      </c>
    </row>
    <row r="482" spans="2:14" ht="20.100000000000001" customHeight="1">
      <c r="B482" s="260"/>
      <c r="D482" s="52" t="s">
        <v>122</v>
      </c>
      <c r="E482" s="53"/>
      <c r="F482" s="53"/>
      <c r="G482" s="53"/>
      <c r="H482" s="53"/>
      <c r="I482" s="36"/>
      <c r="J482" s="54"/>
      <c r="K482" s="165">
        <v>0</v>
      </c>
      <c r="L482" s="320">
        <f>N480+N481</f>
        <v>50.989999999999995</v>
      </c>
      <c r="M482" s="164"/>
      <c r="N482" s="316">
        <f>ROUND(L482*K482,2)</f>
        <v>0</v>
      </c>
    </row>
    <row r="483" spans="2:14" ht="20.100000000000001" customHeight="1">
      <c r="D483" s="167"/>
      <c r="E483" s="59"/>
      <c r="F483" s="168"/>
      <c r="G483" s="168"/>
      <c r="H483" s="159"/>
      <c r="I483" s="236"/>
      <c r="J483" s="169"/>
      <c r="K483" s="162"/>
      <c r="L483" s="163"/>
      <c r="M483" s="62" t="s">
        <v>98</v>
      </c>
      <c r="N483" s="302">
        <f>SUM(N480:N482)</f>
        <v>50.989999999999995</v>
      </c>
    </row>
    <row r="484" spans="2:14" ht="3.95" customHeight="1">
      <c r="D484" s="158"/>
      <c r="E484" s="159"/>
      <c r="F484" s="159"/>
      <c r="G484" s="159"/>
      <c r="H484" s="159"/>
      <c r="I484" s="236"/>
      <c r="J484" s="169"/>
      <c r="K484" s="162"/>
      <c r="L484" s="163"/>
      <c r="M484" s="163"/>
      <c r="N484" s="300"/>
    </row>
    <row r="485" spans="2:14" ht="20.100000000000001" customHeight="1">
      <c r="D485" s="170"/>
      <c r="E485" s="168"/>
      <c r="F485" s="168"/>
      <c r="G485" s="168"/>
      <c r="H485" s="171"/>
      <c r="I485" s="237"/>
      <c r="J485" s="171"/>
      <c r="K485" s="509" t="s">
        <v>99</v>
      </c>
      <c r="L485" s="510"/>
      <c r="M485" s="511"/>
      <c r="N485" s="303">
        <f>+N477+N483</f>
        <v>657.78</v>
      </c>
    </row>
    <row r="486" spans="2:14" ht="3.95" customHeight="1">
      <c r="D486" s="172"/>
      <c r="E486" s="159"/>
      <c r="F486" s="159"/>
      <c r="G486" s="160"/>
      <c r="H486" s="159"/>
      <c r="I486" s="236"/>
      <c r="J486" s="161"/>
      <c r="K486" s="162"/>
      <c r="L486" s="163"/>
      <c r="M486" s="163"/>
      <c r="N486" s="300"/>
    </row>
    <row r="487" spans="2:14" ht="20.100000000000001" customHeight="1">
      <c r="D487" s="167"/>
      <c r="E487" s="509" t="s">
        <v>100</v>
      </c>
      <c r="F487" s="510"/>
      <c r="G487" s="510"/>
      <c r="H487" s="511"/>
      <c r="I487" s="238">
        <v>70</v>
      </c>
      <c r="J487" s="163"/>
      <c r="K487" s="506" t="s">
        <v>101</v>
      </c>
      <c r="L487" s="507"/>
      <c r="M487" s="508"/>
      <c r="N487" s="304">
        <f>ROUND(N485/I487,2)</f>
        <v>9.4</v>
      </c>
    </row>
    <row r="488" spans="2:14" ht="3.95" customHeight="1">
      <c r="D488" s="158"/>
      <c r="E488" s="159"/>
      <c r="F488" s="159"/>
      <c r="G488" s="173"/>
      <c r="H488" s="159"/>
      <c r="I488" s="163"/>
      <c r="J488" s="161"/>
      <c r="K488" s="161"/>
      <c r="L488" s="163"/>
      <c r="M488" s="161"/>
      <c r="N488" s="305"/>
    </row>
    <row r="489" spans="2:14" ht="20.100000000000001" customHeight="1">
      <c r="D489" s="49" t="s">
        <v>102</v>
      </c>
      <c r="E489" s="22"/>
      <c r="F489" s="22"/>
      <c r="G489" s="22"/>
      <c r="H489" s="22"/>
      <c r="I489" s="141"/>
      <c r="J489" s="23"/>
      <c r="K489" s="50" t="s">
        <v>103</v>
      </c>
      <c r="L489" s="51" t="s">
        <v>80</v>
      </c>
      <c r="M489" s="51" t="s">
        <v>104</v>
      </c>
      <c r="N489" s="272" t="s">
        <v>105</v>
      </c>
    </row>
    <row r="490" spans="2:14" ht="20.100000000000001" customHeight="1">
      <c r="B490" s="260" t="s">
        <v>401</v>
      </c>
      <c r="D490" s="264" t="str">
        <f>IF(B490=0,0,VLOOKUP(B490,MAT,3,FALSE))</f>
        <v>INDENIZAÇÃO DE JAZIDA</v>
      </c>
      <c r="E490" s="53"/>
      <c r="F490" s="53"/>
      <c r="G490" s="53"/>
      <c r="H490" s="53"/>
      <c r="I490" s="36"/>
      <c r="J490" s="54"/>
      <c r="K490" s="66" t="str">
        <f>IF(B490=0,0,VLOOKUP(B490,MAT,5,FALSE))</f>
        <v>M3</v>
      </c>
      <c r="L490" s="267">
        <f>IF(B490=0,0,VLOOKUP(B490,MAT,6,FALSE))</f>
        <v>1.37</v>
      </c>
      <c r="M490" s="174">
        <v>1</v>
      </c>
      <c r="N490" s="316">
        <f>ROUND(L490*M490,2)</f>
        <v>1.37</v>
      </c>
    </row>
    <row r="491" spans="2:14" ht="20.100000000000001" customHeight="1">
      <c r="B491" s="260"/>
      <c r="D491" s="264">
        <f>IF(B491=0,0,VLOOKUP(B491,MAT,3,FALSE))</f>
        <v>0</v>
      </c>
      <c r="E491" s="53"/>
      <c r="F491" s="53"/>
      <c r="G491" s="53"/>
      <c r="H491" s="53"/>
      <c r="I491" s="36"/>
      <c r="J491" s="54"/>
      <c r="K491" s="262">
        <f>IF(B491=0,0,VLOOKUP(B491,MAT,5,FALSE))</f>
        <v>0</v>
      </c>
      <c r="L491" s="267">
        <f>IF(B491=0,0,VLOOKUP(B491,MAT,6,FALSE))</f>
        <v>0</v>
      </c>
      <c r="M491" s="174"/>
      <c r="N491" s="316">
        <f>ROUND(L491*M491,2)</f>
        <v>0</v>
      </c>
    </row>
    <row r="492" spans="2:14" ht="20.100000000000001" customHeight="1">
      <c r="B492" s="260"/>
      <c r="D492" s="264">
        <f>IF(B492=0,0,VLOOKUP(B492,MAT,3,FALSE))</f>
        <v>0</v>
      </c>
      <c r="E492" s="53"/>
      <c r="F492" s="53"/>
      <c r="G492" s="53"/>
      <c r="H492" s="53"/>
      <c r="I492" s="36"/>
      <c r="J492" s="54"/>
      <c r="K492" s="262">
        <f>IF(B492=0,0,VLOOKUP(B492,MAT,5,FALSE))</f>
        <v>0</v>
      </c>
      <c r="L492" s="267">
        <f>IF(B492=0,0,VLOOKUP(B492,MAT,6,FALSE))</f>
        <v>0</v>
      </c>
      <c r="M492" s="174"/>
      <c r="N492" s="316">
        <f>ROUND(L492*M492,2)</f>
        <v>0</v>
      </c>
    </row>
    <row r="493" spans="2:14" ht="20.100000000000001" customHeight="1">
      <c r="D493" s="158"/>
      <c r="E493" s="159"/>
      <c r="F493" s="159"/>
      <c r="G493" s="173"/>
      <c r="H493" s="159"/>
      <c r="I493" s="163"/>
      <c r="J493" s="161"/>
      <c r="K493" s="161"/>
      <c r="L493" s="163"/>
      <c r="M493" s="71" t="s">
        <v>106</v>
      </c>
      <c r="N493" s="302">
        <f>SUM(N490:N492)</f>
        <v>1.37</v>
      </c>
    </row>
    <row r="494" spans="2:14" ht="20.100000000000001" customHeight="1">
      <c r="D494" s="158"/>
      <c r="E494" s="159"/>
      <c r="F494" s="159"/>
      <c r="G494" s="173"/>
      <c r="H494" s="159"/>
      <c r="I494" s="163"/>
      <c r="J494" s="161"/>
      <c r="K494" s="161"/>
      <c r="L494" s="163"/>
      <c r="M494" s="161"/>
      <c r="N494" s="305"/>
    </row>
    <row r="495" spans="2:14" ht="20.100000000000001" customHeight="1">
      <c r="D495" s="527" t="s">
        <v>107</v>
      </c>
      <c r="E495" s="72" t="s">
        <v>2</v>
      </c>
      <c r="F495" s="73"/>
      <c r="G495" s="73"/>
      <c r="H495" s="74"/>
      <c r="I495" s="498" t="s">
        <v>108</v>
      </c>
      <c r="J495" s="499"/>
      <c r="K495" s="531" t="s">
        <v>103</v>
      </c>
      <c r="L495" s="514" t="s">
        <v>80</v>
      </c>
      <c r="M495" s="531" t="s">
        <v>109</v>
      </c>
      <c r="N495" s="529" t="s">
        <v>105</v>
      </c>
    </row>
    <row r="496" spans="2:14" ht="20.100000000000001" customHeight="1">
      <c r="D496" s="528"/>
      <c r="E496" s="512" t="s">
        <v>110</v>
      </c>
      <c r="F496" s="513"/>
      <c r="G496" s="512" t="s">
        <v>111</v>
      </c>
      <c r="H496" s="513"/>
      <c r="I496" s="500"/>
      <c r="J496" s="501"/>
      <c r="K496" s="532"/>
      <c r="L496" s="515"/>
      <c r="M496" s="532"/>
      <c r="N496" s="530"/>
    </row>
    <row r="497" spans="2:21" ht="20.100000000000001" customHeight="1">
      <c r="B497" s="260"/>
      <c r="D497" s="261">
        <f>IF(B497=0,0,VLOOKUP(B497,TRANS,3,FALSE))</f>
        <v>0</v>
      </c>
      <c r="E497" s="581">
        <f>IF(B497=0,0,VLOOKUP(B497,TRANS,5,FALSE))</f>
        <v>0</v>
      </c>
      <c r="F497" s="582"/>
      <c r="G497" s="502"/>
      <c r="H497" s="503"/>
      <c r="I497" s="533"/>
      <c r="J497" s="534">
        <v>50</v>
      </c>
      <c r="K497" s="262">
        <f>IF(B497=0,0,VLOOKUP(B497,TRANS,4,FALSE))</f>
        <v>0</v>
      </c>
      <c r="L497" s="387">
        <f>E497*I497</f>
        <v>0</v>
      </c>
      <c r="M497" s="70"/>
      <c r="N497" s="317">
        <f>ROUND(L497*M497,2)</f>
        <v>0</v>
      </c>
    </row>
    <row r="498" spans="2:21" ht="20.100000000000001" customHeight="1">
      <c r="B498" s="260"/>
      <c r="D498" s="261"/>
      <c r="E498" s="504"/>
      <c r="F498" s="505"/>
      <c r="G498" s="502"/>
      <c r="H498" s="503"/>
      <c r="I498" s="533"/>
      <c r="J498" s="534"/>
      <c r="K498" s="66"/>
      <c r="L498" s="67"/>
      <c r="M498" s="70"/>
      <c r="N498" s="278"/>
    </row>
    <row r="499" spans="2:21" ht="20.100000000000001" customHeight="1">
      <c r="D499" s="175"/>
      <c r="E499" s="176"/>
      <c r="F499" s="159"/>
      <c r="G499" s="173"/>
      <c r="H499" s="159"/>
      <c r="I499" s="163"/>
      <c r="J499" s="161"/>
      <c r="K499" s="161"/>
      <c r="L499" s="163"/>
      <c r="M499" s="71" t="s">
        <v>112</v>
      </c>
      <c r="N499" s="437">
        <f>SUM(N497:N498)</f>
        <v>0</v>
      </c>
    </row>
    <row r="500" spans="2:21" ht="3.95" customHeight="1" thickBot="1">
      <c r="D500" s="175"/>
      <c r="E500" s="159"/>
      <c r="F500" s="173"/>
      <c r="G500" s="159"/>
      <c r="H500" s="161"/>
      <c r="I500" s="163"/>
      <c r="J500" s="161"/>
      <c r="K500" s="161"/>
      <c r="L500" s="163"/>
      <c r="M500" s="161"/>
      <c r="N500" s="305"/>
    </row>
    <row r="501" spans="2:21" ht="20.100000000000001" customHeight="1">
      <c r="D501" s="177"/>
      <c r="E501" s="178"/>
      <c r="F501" s="178"/>
      <c r="G501" s="178"/>
      <c r="H501" s="179"/>
      <c r="I501" s="239"/>
      <c r="J501" s="127" t="s">
        <v>114</v>
      </c>
      <c r="K501" s="128"/>
      <c r="L501" s="306"/>
      <c r="M501" s="129">
        <v>0</v>
      </c>
      <c r="N501" s="447">
        <f>(+$N487+$N493+$N499)*M501</f>
        <v>0</v>
      </c>
    </row>
    <row r="502" spans="2:21" ht="20.100000000000001" customHeight="1" thickBot="1">
      <c r="D502" s="180"/>
      <c r="E502" s="181"/>
      <c r="F502" s="181"/>
      <c r="G502" s="181"/>
      <c r="H502" s="181"/>
      <c r="I502" s="240"/>
      <c r="J502" s="537" t="s">
        <v>149</v>
      </c>
      <c r="K502" s="538"/>
      <c r="L502" s="538"/>
      <c r="M502" s="538"/>
      <c r="N502" s="308">
        <f>+$N487+$N493+$N499+N501</f>
        <v>10.77</v>
      </c>
    </row>
    <row r="503" spans="2:21" ht="20.100000000000001" customHeight="1" thickBot="1">
      <c r="D503" s="182"/>
      <c r="E503" s="183"/>
      <c r="F503" s="183"/>
      <c r="G503" s="183"/>
      <c r="H503" s="183"/>
      <c r="I503" s="241"/>
      <c r="J503" s="184" t="s">
        <v>158</v>
      </c>
      <c r="K503" s="185"/>
      <c r="L503" s="309"/>
      <c r="M503" s="186">
        <v>0</v>
      </c>
      <c r="N503" s="310">
        <f>(M503*N502)+N502</f>
        <v>10.77</v>
      </c>
      <c r="O503" s="210"/>
      <c r="P503" s="16">
        <v>48.42</v>
      </c>
      <c r="R503" s="90">
        <f>(N503/P503)-1</f>
        <v>-0.7775712515489468</v>
      </c>
    </row>
    <row r="506" spans="2:21" ht="20.100000000000001" customHeight="1" thickBot="1"/>
    <row r="507" spans="2:21" ht="20.100000000000001" customHeight="1">
      <c r="D507" s="598" t="s">
        <v>410</v>
      </c>
      <c r="E507" s="599"/>
      <c r="F507" s="524" t="s">
        <v>74</v>
      </c>
      <c r="G507" s="525"/>
      <c r="H507" s="525"/>
      <c r="I507" s="525"/>
      <c r="J507" s="525"/>
      <c r="K507" s="525"/>
      <c r="L507" s="526"/>
      <c r="M507" s="19" t="s">
        <v>75</v>
      </c>
      <c r="N507" s="20" t="s">
        <v>76</v>
      </c>
      <c r="U507" s="132">
        <f>N544</f>
        <v>3.38</v>
      </c>
    </row>
    <row r="508" spans="2:21" ht="20.100000000000001" customHeight="1">
      <c r="D508" s="600"/>
      <c r="E508" s="601"/>
      <c r="F508" s="512" t="s">
        <v>417</v>
      </c>
      <c r="G508" s="519"/>
      <c r="H508" s="519"/>
      <c r="I508" s="519"/>
      <c r="J508" s="519"/>
      <c r="K508" s="519"/>
      <c r="L508" s="513"/>
      <c r="M508" s="24" t="s">
        <v>5</v>
      </c>
      <c r="N508" s="25">
        <f>DATA</f>
        <v>41214</v>
      </c>
    </row>
    <row r="509" spans="2:21" ht="20.100000000000001" customHeight="1">
      <c r="D509" s="26" t="s">
        <v>77</v>
      </c>
      <c r="E509" s="27"/>
      <c r="F509" s="27"/>
      <c r="G509" s="27"/>
      <c r="H509" s="28"/>
      <c r="I509" s="214" t="s">
        <v>78</v>
      </c>
      <c r="J509" s="509" t="s">
        <v>79</v>
      </c>
      <c r="K509" s="511"/>
      <c r="L509" s="535" t="s">
        <v>80</v>
      </c>
      <c r="M509" s="536"/>
      <c r="N509" s="516" t="s">
        <v>81</v>
      </c>
    </row>
    <row r="510" spans="2:21" ht="20.100000000000001" customHeight="1">
      <c r="D510" s="31"/>
      <c r="E510" s="32"/>
      <c r="F510" s="32"/>
      <c r="G510" s="32"/>
      <c r="H510" s="33"/>
      <c r="I510" s="34"/>
      <c r="J510" s="51" t="s">
        <v>82</v>
      </c>
      <c r="K510" s="51" t="s">
        <v>83</v>
      </c>
      <c r="L510" s="51" t="s">
        <v>82</v>
      </c>
      <c r="M510" s="51" t="s">
        <v>84</v>
      </c>
      <c r="N510" s="517"/>
    </row>
    <row r="511" spans="2:21" ht="20.100000000000001" customHeight="1">
      <c r="B511" s="260" t="s">
        <v>415</v>
      </c>
      <c r="D511" s="264" t="str">
        <f t="shared" ref="D511:D517" si="42">IF(B511=0,0,VLOOKUP(B511,EQUIP,3,FALSE))</f>
        <v>TRATOR DE ESTEIRAS - COM LÂMINA (104 KW)</v>
      </c>
      <c r="E511" s="265"/>
      <c r="F511" s="265"/>
      <c r="G511" s="265"/>
      <c r="H511" s="266"/>
      <c r="I511" s="318">
        <v>1</v>
      </c>
      <c r="J511" s="318">
        <v>1</v>
      </c>
      <c r="K511" s="318">
        <f>1-J511</f>
        <v>0</v>
      </c>
      <c r="L511" s="318">
        <f t="shared" ref="L511:L517" si="43">IF(B511=0,0,VLOOKUP(B511,EQUIP,6,FALSE))</f>
        <v>334.66</v>
      </c>
      <c r="M511" s="318">
        <f t="shared" ref="M511:M517" si="44">IF(B511=0,0,VLOOKUP(B511,EQUIP,7,FALSE))</f>
        <v>22.39</v>
      </c>
      <c r="N511" s="319">
        <f t="shared" ref="N511:N517" si="45">ROUND(I511*J511*L511+I511*K511*M511,2)</f>
        <v>334.66</v>
      </c>
    </row>
    <row r="512" spans="2:21" ht="20.100000000000001" customHeight="1">
      <c r="B512" s="260"/>
      <c r="D512" s="264">
        <f t="shared" si="42"/>
        <v>0</v>
      </c>
      <c r="E512" s="265"/>
      <c r="F512" s="265"/>
      <c r="G512" s="265"/>
      <c r="H512" s="266"/>
      <c r="I512" s="263"/>
      <c r="J512" s="263"/>
      <c r="K512" s="318"/>
      <c r="L512" s="318">
        <f t="shared" si="43"/>
        <v>0</v>
      </c>
      <c r="M512" s="318">
        <f t="shared" si="44"/>
        <v>0</v>
      </c>
      <c r="N512" s="319">
        <f t="shared" si="45"/>
        <v>0</v>
      </c>
    </row>
    <row r="513" spans="2:14" ht="20.100000000000001" customHeight="1">
      <c r="B513" s="260"/>
      <c r="D513" s="264">
        <f t="shared" si="42"/>
        <v>0</v>
      </c>
      <c r="E513" s="265"/>
      <c r="F513" s="265"/>
      <c r="G513" s="265"/>
      <c r="H513" s="266"/>
      <c r="I513" s="318"/>
      <c r="J513" s="318"/>
      <c r="K513" s="318"/>
      <c r="L513" s="318">
        <f t="shared" si="43"/>
        <v>0</v>
      </c>
      <c r="M513" s="318">
        <f t="shared" si="44"/>
        <v>0</v>
      </c>
      <c r="N513" s="319">
        <f t="shared" si="45"/>
        <v>0</v>
      </c>
    </row>
    <row r="514" spans="2:14" ht="20.100000000000001" customHeight="1">
      <c r="B514" s="260"/>
      <c r="D514" s="264">
        <f t="shared" si="42"/>
        <v>0</v>
      </c>
      <c r="E514" s="265"/>
      <c r="F514" s="265"/>
      <c r="G514" s="265"/>
      <c r="H514" s="266"/>
      <c r="I514" s="263"/>
      <c r="J514" s="263"/>
      <c r="K514" s="318"/>
      <c r="L514" s="318">
        <f t="shared" si="43"/>
        <v>0</v>
      </c>
      <c r="M514" s="318">
        <f t="shared" si="44"/>
        <v>0</v>
      </c>
      <c r="N514" s="319">
        <f t="shared" si="45"/>
        <v>0</v>
      </c>
    </row>
    <row r="515" spans="2:14" ht="20.100000000000001" customHeight="1">
      <c r="B515" s="260"/>
      <c r="D515" s="264">
        <f t="shared" si="42"/>
        <v>0</v>
      </c>
      <c r="E515" s="265"/>
      <c r="F515" s="265"/>
      <c r="G515" s="265"/>
      <c r="H515" s="266"/>
      <c r="I515" s="263"/>
      <c r="J515" s="263"/>
      <c r="K515" s="318"/>
      <c r="L515" s="318">
        <f t="shared" si="43"/>
        <v>0</v>
      </c>
      <c r="M515" s="318">
        <f t="shared" si="44"/>
        <v>0</v>
      </c>
      <c r="N515" s="319">
        <f t="shared" si="45"/>
        <v>0</v>
      </c>
    </row>
    <row r="516" spans="2:14" ht="20.100000000000001" customHeight="1">
      <c r="B516" s="260"/>
      <c r="D516" s="264">
        <f t="shared" si="42"/>
        <v>0</v>
      </c>
      <c r="E516" s="265"/>
      <c r="F516" s="265"/>
      <c r="G516" s="265"/>
      <c r="H516" s="266"/>
      <c r="I516" s="263"/>
      <c r="J516" s="318"/>
      <c r="K516" s="318"/>
      <c r="L516" s="318">
        <f t="shared" si="43"/>
        <v>0</v>
      </c>
      <c r="M516" s="318">
        <f t="shared" si="44"/>
        <v>0</v>
      </c>
      <c r="N516" s="319">
        <f t="shared" si="45"/>
        <v>0</v>
      </c>
    </row>
    <row r="517" spans="2:14" ht="20.100000000000001" customHeight="1">
      <c r="B517" s="260"/>
      <c r="D517" s="264">
        <f t="shared" si="42"/>
        <v>0</v>
      </c>
      <c r="E517" s="265"/>
      <c r="F517" s="265"/>
      <c r="G517" s="265"/>
      <c r="H517" s="266"/>
      <c r="I517" s="263"/>
      <c r="J517" s="318"/>
      <c r="K517" s="318"/>
      <c r="L517" s="318">
        <f t="shared" si="43"/>
        <v>0</v>
      </c>
      <c r="M517" s="318">
        <f t="shared" si="44"/>
        <v>0</v>
      </c>
      <c r="N517" s="319">
        <f t="shared" si="45"/>
        <v>0</v>
      </c>
    </row>
    <row r="518" spans="2:14" ht="20.100000000000001" customHeight="1">
      <c r="D518" s="155"/>
      <c r="E518" s="156"/>
      <c r="F518" s="156"/>
      <c r="G518" s="156"/>
      <c r="H518" s="156"/>
      <c r="I518" s="235"/>
      <c r="J518" s="157"/>
      <c r="K518" s="157"/>
      <c r="L518" s="216"/>
      <c r="M518" s="42" t="s">
        <v>89</v>
      </c>
      <c r="N518" s="270">
        <f>SUM(N511:N517)</f>
        <v>334.66</v>
      </c>
    </row>
    <row r="519" spans="2:14" ht="3.95" customHeight="1">
      <c r="D519" s="158"/>
      <c r="E519" s="159"/>
      <c r="F519" s="159"/>
      <c r="G519" s="160"/>
      <c r="H519" s="159"/>
      <c r="I519" s="236"/>
      <c r="J519" s="161"/>
      <c r="K519" s="162"/>
      <c r="L519" s="163"/>
      <c r="M519" s="163"/>
      <c r="N519" s="300"/>
    </row>
    <row r="520" spans="2:14" ht="20.100000000000001" customHeight="1">
      <c r="D520" s="518" t="s">
        <v>90</v>
      </c>
      <c r="E520" s="519"/>
      <c r="F520" s="519"/>
      <c r="G520" s="519"/>
      <c r="H520" s="519"/>
      <c r="I520" s="519"/>
      <c r="J520" s="513"/>
      <c r="K520" s="50" t="s">
        <v>91</v>
      </c>
      <c r="L520" s="51" t="s">
        <v>92</v>
      </c>
      <c r="M520" s="51" t="s">
        <v>93</v>
      </c>
      <c r="N520" s="272" t="s">
        <v>94</v>
      </c>
    </row>
    <row r="521" spans="2:14" ht="20.100000000000001" customHeight="1">
      <c r="B521" s="260" t="s">
        <v>247</v>
      </c>
      <c r="D521" s="264" t="str">
        <f>IF(B521=0,0,VLOOKUP(B521,MO,2,FALSE))</f>
        <v>ENCARREGADO DE TURMA</v>
      </c>
      <c r="E521" s="53"/>
      <c r="F521" s="53"/>
      <c r="G521" s="53"/>
      <c r="H521" s="53"/>
      <c r="I521" s="36"/>
      <c r="J521" s="54"/>
      <c r="K521" s="152"/>
      <c r="L521" s="164">
        <v>0.3</v>
      </c>
      <c r="M521" s="263">
        <f>IF(B521=0,0,VLOOKUP(B521,MO,6,FALSE))</f>
        <v>27</v>
      </c>
      <c r="N521" s="316">
        <f>ROUND(L521*M521,2)</f>
        <v>8.1</v>
      </c>
    </row>
    <row r="522" spans="2:14" ht="20.100000000000001" customHeight="1">
      <c r="B522" s="260" t="s">
        <v>248</v>
      </c>
      <c r="D522" s="264" t="str">
        <f>IF(B522=0,0,VLOOKUP(B522,MO,2,FALSE))</f>
        <v>SERVENTE</v>
      </c>
      <c r="E522" s="53"/>
      <c r="F522" s="53"/>
      <c r="G522" s="53"/>
      <c r="H522" s="53"/>
      <c r="I522" s="36"/>
      <c r="J522" s="54"/>
      <c r="K522" s="152"/>
      <c r="L522" s="164">
        <v>2</v>
      </c>
      <c r="M522" s="263">
        <f>IF(B522=0,0,VLOOKUP(B522,MO,6,FALSE))</f>
        <v>7.9973000000000001</v>
      </c>
      <c r="N522" s="316">
        <f>ROUND(L522*M522,2)</f>
        <v>15.99</v>
      </c>
    </row>
    <row r="523" spans="2:14" ht="20.100000000000001" customHeight="1">
      <c r="B523" s="260"/>
      <c r="D523" s="52" t="s">
        <v>122</v>
      </c>
      <c r="E523" s="53"/>
      <c r="F523" s="53"/>
      <c r="G523" s="53"/>
      <c r="H523" s="53"/>
      <c r="I523" s="36"/>
      <c r="J523" s="54"/>
      <c r="K523" s="165">
        <v>0</v>
      </c>
      <c r="L523" s="320">
        <f>N521+N522</f>
        <v>24.09</v>
      </c>
      <c r="M523" s="164"/>
      <c r="N523" s="316">
        <f>ROUND(L523*K523,2)</f>
        <v>0</v>
      </c>
    </row>
    <row r="524" spans="2:14" ht="20.100000000000001" customHeight="1">
      <c r="D524" s="167"/>
      <c r="E524" s="59"/>
      <c r="F524" s="168"/>
      <c r="G524" s="168"/>
      <c r="H524" s="159"/>
      <c r="I524" s="236"/>
      <c r="J524" s="169"/>
      <c r="K524" s="162"/>
      <c r="L524" s="163"/>
      <c r="M524" s="62" t="s">
        <v>98</v>
      </c>
      <c r="N524" s="302">
        <f>SUM(N521:N523)</f>
        <v>24.09</v>
      </c>
    </row>
    <row r="525" spans="2:14" ht="3.95" customHeight="1">
      <c r="D525" s="158"/>
      <c r="E525" s="159"/>
      <c r="F525" s="159"/>
      <c r="G525" s="159"/>
      <c r="H525" s="159"/>
      <c r="I525" s="236"/>
      <c r="J525" s="169"/>
      <c r="K525" s="162"/>
      <c r="L525" s="163"/>
      <c r="M525" s="163"/>
      <c r="N525" s="300"/>
    </row>
    <row r="526" spans="2:14" ht="20.100000000000001" customHeight="1">
      <c r="D526" s="170"/>
      <c r="E526" s="168"/>
      <c r="F526" s="168"/>
      <c r="G526" s="168"/>
      <c r="H526" s="171"/>
      <c r="I526" s="237"/>
      <c r="J526" s="171"/>
      <c r="K526" s="509" t="s">
        <v>99</v>
      </c>
      <c r="L526" s="510"/>
      <c r="M526" s="511"/>
      <c r="N526" s="303">
        <f>+N518+N524</f>
        <v>358.75</v>
      </c>
    </row>
    <row r="527" spans="2:14" ht="3.95" customHeight="1">
      <c r="D527" s="172"/>
      <c r="E527" s="159"/>
      <c r="F527" s="159"/>
      <c r="G527" s="160"/>
      <c r="H527" s="159"/>
      <c r="I527" s="236"/>
      <c r="J527" s="161"/>
      <c r="K527" s="162"/>
      <c r="L527" s="163"/>
      <c r="M527" s="163"/>
      <c r="N527" s="300"/>
    </row>
    <row r="528" spans="2:14" ht="20.100000000000001" customHeight="1">
      <c r="D528" s="167"/>
      <c r="E528" s="509" t="s">
        <v>100</v>
      </c>
      <c r="F528" s="510"/>
      <c r="G528" s="510"/>
      <c r="H528" s="511"/>
      <c r="I528" s="238">
        <v>106</v>
      </c>
      <c r="J528" s="163"/>
      <c r="K528" s="506" t="s">
        <v>101</v>
      </c>
      <c r="L528" s="507"/>
      <c r="M528" s="508"/>
      <c r="N528" s="304">
        <f>ROUND(N526/I528,2)</f>
        <v>3.38</v>
      </c>
    </row>
    <row r="529" spans="2:18" ht="3.95" customHeight="1">
      <c r="D529" s="158"/>
      <c r="E529" s="159"/>
      <c r="F529" s="159"/>
      <c r="G529" s="173"/>
      <c r="H529" s="159"/>
      <c r="I529" s="163"/>
      <c r="J529" s="161"/>
      <c r="K529" s="161"/>
      <c r="L529" s="163"/>
      <c r="M529" s="161"/>
      <c r="N529" s="305"/>
    </row>
    <row r="530" spans="2:18" ht="20.100000000000001" customHeight="1">
      <c r="D530" s="49" t="s">
        <v>102</v>
      </c>
      <c r="E530" s="22"/>
      <c r="F530" s="22"/>
      <c r="G530" s="22"/>
      <c r="H530" s="22"/>
      <c r="I530" s="141"/>
      <c r="J530" s="23"/>
      <c r="K530" s="50" t="s">
        <v>103</v>
      </c>
      <c r="L530" s="51" t="s">
        <v>80</v>
      </c>
      <c r="M530" s="51" t="s">
        <v>104</v>
      </c>
      <c r="N530" s="272" t="s">
        <v>105</v>
      </c>
    </row>
    <row r="531" spans="2:18" ht="20.100000000000001" customHeight="1">
      <c r="B531" s="260"/>
      <c r="D531" s="264">
        <f>IF(B531=0,0,VLOOKUP(B531,MAT,3,FALSE))</f>
        <v>0</v>
      </c>
      <c r="E531" s="53"/>
      <c r="F531" s="53"/>
      <c r="G531" s="53"/>
      <c r="H531" s="53"/>
      <c r="I531" s="36"/>
      <c r="J531" s="54"/>
      <c r="K531" s="262">
        <f>IF(B531=0,0,VLOOKUP(B531,MAT,5,FALSE))</f>
        <v>0</v>
      </c>
      <c r="L531" s="267">
        <f>IF(B531=0,0,VLOOKUP(B531,MAT,6,FALSE))</f>
        <v>0</v>
      </c>
      <c r="M531" s="174"/>
      <c r="N531" s="316">
        <f>ROUND(L531*M531,2)</f>
        <v>0</v>
      </c>
    </row>
    <row r="532" spans="2:18" ht="20.100000000000001" customHeight="1">
      <c r="B532" s="260"/>
      <c r="D532" s="264">
        <f>IF(B532=0,0,VLOOKUP(B532,MAT,3,FALSE))</f>
        <v>0</v>
      </c>
      <c r="E532" s="53"/>
      <c r="F532" s="53"/>
      <c r="G532" s="53"/>
      <c r="H532" s="53"/>
      <c r="I532" s="36"/>
      <c r="J532" s="54"/>
      <c r="K532" s="262">
        <f>IF(B532=0,0,VLOOKUP(B532,MAT,5,FALSE))</f>
        <v>0</v>
      </c>
      <c r="L532" s="267">
        <f>IF(B532=0,0,VLOOKUP(B532,MAT,6,FALSE))</f>
        <v>0</v>
      </c>
      <c r="M532" s="174"/>
      <c r="N532" s="316">
        <f>ROUND(L532*M532,2)</f>
        <v>0</v>
      </c>
    </row>
    <row r="533" spans="2:18" ht="20.100000000000001" customHeight="1">
      <c r="B533" s="260"/>
      <c r="D533" s="264">
        <f>IF(B533=0,0,VLOOKUP(B533,MAT,3,FALSE))</f>
        <v>0</v>
      </c>
      <c r="E533" s="53"/>
      <c r="F533" s="53"/>
      <c r="G533" s="53"/>
      <c r="H533" s="53"/>
      <c r="I533" s="36"/>
      <c r="J533" s="54"/>
      <c r="K533" s="262">
        <f>IF(B533=0,0,VLOOKUP(B533,MAT,5,FALSE))</f>
        <v>0</v>
      </c>
      <c r="L533" s="267">
        <f>IF(B533=0,0,VLOOKUP(B533,MAT,6,FALSE))</f>
        <v>0</v>
      </c>
      <c r="M533" s="174"/>
      <c r="N533" s="316">
        <f>ROUND(L533*M533,2)</f>
        <v>0</v>
      </c>
    </row>
    <row r="534" spans="2:18" ht="20.100000000000001" customHeight="1">
      <c r="D534" s="158"/>
      <c r="E534" s="159"/>
      <c r="F534" s="159"/>
      <c r="G534" s="173"/>
      <c r="H534" s="159"/>
      <c r="I534" s="163"/>
      <c r="J534" s="161"/>
      <c r="K534" s="161"/>
      <c r="L534" s="163"/>
      <c r="M534" s="71" t="s">
        <v>106</v>
      </c>
      <c r="N534" s="437">
        <f>SUM(N531:N533)</f>
        <v>0</v>
      </c>
    </row>
    <row r="535" spans="2:18" ht="20.100000000000001" customHeight="1">
      <c r="D535" s="158"/>
      <c r="E535" s="159"/>
      <c r="F535" s="159"/>
      <c r="G535" s="173"/>
      <c r="H535" s="159"/>
      <c r="I535" s="163"/>
      <c r="J535" s="161"/>
      <c r="K535" s="161"/>
      <c r="L535" s="163"/>
      <c r="M535" s="161"/>
      <c r="N535" s="305"/>
    </row>
    <row r="536" spans="2:18" ht="20.100000000000001" customHeight="1">
      <c r="D536" s="527" t="s">
        <v>107</v>
      </c>
      <c r="E536" s="72" t="s">
        <v>2</v>
      </c>
      <c r="F536" s="73"/>
      <c r="G536" s="73"/>
      <c r="H536" s="74"/>
      <c r="I536" s="498" t="s">
        <v>108</v>
      </c>
      <c r="J536" s="499"/>
      <c r="K536" s="531" t="s">
        <v>103</v>
      </c>
      <c r="L536" s="514" t="s">
        <v>80</v>
      </c>
      <c r="M536" s="531" t="s">
        <v>109</v>
      </c>
      <c r="N536" s="529" t="s">
        <v>105</v>
      </c>
    </row>
    <row r="537" spans="2:18" ht="20.100000000000001" customHeight="1">
      <c r="D537" s="528"/>
      <c r="E537" s="512" t="s">
        <v>110</v>
      </c>
      <c r="F537" s="513"/>
      <c r="G537" s="512" t="s">
        <v>111</v>
      </c>
      <c r="H537" s="513"/>
      <c r="I537" s="500"/>
      <c r="J537" s="501"/>
      <c r="K537" s="532"/>
      <c r="L537" s="515"/>
      <c r="M537" s="532"/>
      <c r="N537" s="530"/>
    </row>
    <row r="538" spans="2:18" ht="20.100000000000001" customHeight="1">
      <c r="B538" s="260"/>
      <c r="D538" s="261">
        <f>IF(B538=0,0,VLOOKUP(B538,TRANS,3,FALSE))</f>
        <v>0</v>
      </c>
      <c r="E538" s="581">
        <f>IF(B538=0,0,VLOOKUP(B538,TRANS,5,FALSE))</f>
        <v>0</v>
      </c>
      <c r="F538" s="582"/>
      <c r="G538" s="502"/>
      <c r="H538" s="503"/>
      <c r="I538" s="533"/>
      <c r="J538" s="534">
        <v>50</v>
      </c>
      <c r="K538" s="262">
        <f>IF(B538=0,0,VLOOKUP(B538,TRANS,4,FALSE))</f>
        <v>0</v>
      </c>
      <c r="L538" s="387">
        <f>E538*I538</f>
        <v>0</v>
      </c>
      <c r="M538" s="70"/>
      <c r="N538" s="317">
        <f>ROUND(L538*M538,2)</f>
        <v>0</v>
      </c>
    </row>
    <row r="539" spans="2:18" ht="20.100000000000001" customHeight="1">
      <c r="B539" s="260"/>
      <c r="D539" s="261"/>
      <c r="E539" s="504"/>
      <c r="F539" s="505"/>
      <c r="G539" s="502"/>
      <c r="H539" s="503"/>
      <c r="I539" s="533"/>
      <c r="J539" s="534"/>
      <c r="K539" s="66"/>
      <c r="L539" s="67"/>
      <c r="M539" s="70"/>
      <c r="N539" s="278"/>
    </row>
    <row r="540" spans="2:18" ht="20.100000000000001" customHeight="1">
      <c r="D540" s="175"/>
      <c r="E540" s="176"/>
      <c r="F540" s="159"/>
      <c r="G540" s="173"/>
      <c r="H540" s="159"/>
      <c r="I540" s="163"/>
      <c r="J540" s="161"/>
      <c r="K540" s="161"/>
      <c r="L540" s="163"/>
      <c r="M540" s="71" t="s">
        <v>112</v>
      </c>
      <c r="N540" s="437">
        <f>SUM(N538:N539)</f>
        <v>0</v>
      </c>
    </row>
    <row r="541" spans="2:18" ht="3.95" customHeight="1" thickBot="1">
      <c r="D541" s="175"/>
      <c r="E541" s="159"/>
      <c r="F541" s="173"/>
      <c r="G541" s="159"/>
      <c r="H541" s="161"/>
      <c r="I541" s="163"/>
      <c r="J541" s="161"/>
      <c r="K541" s="161"/>
      <c r="L541" s="163"/>
      <c r="M541" s="161"/>
      <c r="N541" s="305"/>
    </row>
    <row r="542" spans="2:18" ht="20.100000000000001" customHeight="1">
      <c r="D542" s="177"/>
      <c r="E542" s="178"/>
      <c r="F542" s="178"/>
      <c r="G542" s="178"/>
      <c r="H542" s="179"/>
      <c r="I542" s="239"/>
      <c r="J542" s="127" t="s">
        <v>114</v>
      </c>
      <c r="K542" s="128"/>
      <c r="L542" s="306"/>
      <c r="M542" s="129">
        <v>0</v>
      </c>
      <c r="N542" s="447">
        <f>(+$N528+$N534+$N540)*M542</f>
        <v>0</v>
      </c>
    </row>
    <row r="543" spans="2:18" ht="20.100000000000001" customHeight="1" thickBot="1">
      <c r="D543" s="180"/>
      <c r="E543" s="181"/>
      <c r="F543" s="181"/>
      <c r="G543" s="181"/>
      <c r="H543" s="181"/>
      <c r="I543" s="240"/>
      <c r="J543" s="537" t="s">
        <v>149</v>
      </c>
      <c r="K543" s="538"/>
      <c r="L543" s="538"/>
      <c r="M543" s="538"/>
      <c r="N543" s="450">
        <f>+$N528+$N534+$N540+N542</f>
        <v>3.38</v>
      </c>
    </row>
    <row r="544" spans="2:18" ht="20.100000000000001" customHeight="1" thickBot="1">
      <c r="D544" s="182"/>
      <c r="E544" s="183"/>
      <c r="F544" s="183"/>
      <c r="G544" s="183"/>
      <c r="H544" s="183"/>
      <c r="I544" s="241"/>
      <c r="J544" s="184" t="s">
        <v>158</v>
      </c>
      <c r="K544" s="185"/>
      <c r="L544" s="309"/>
      <c r="M544" s="186">
        <v>0</v>
      </c>
      <c r="N544" s="310">
        <f>(M544*N543)+N543</f>
        <v>3.38</v>
      </c>
      <c r="O544" s="210"/>
      <c r="P544" s="16">
        <v>48.42</v>
      </c>
      <c r="R544" s="90">
        <f>(N544/P544)-1</f>
        <v>-0.93019413465510126</v>
      </c>
    </row>
    <row r="547" spans="2:21" ht="20.100000000000001" customHeight="1" thickBot="1"/>
    <row r="548" spans="2:21" ht="20.100000000000001" customHeight="1">
      <c r="D548" s="598" t="s">
        <v>411</v>
      </c>
      <c r="E548" s="599"/>
      <c r="F548" s="524" t="s">
        <v>74</v>
      </c>
      <c r="G548" s="525"/>
      <c r="H548" s="525"/>
      <c r="I548" s="525"/>
      <c r="J548" s="525"/>
      <c r="K548" s="525"/>
      <c r="L548" s="526"/>
      <c r="M548" s="19" t="s">
        <v>75</v>
      </c>
      <c r="N548" s="20" t="s">
        <v>76</v>
      </c>
      <c r="U548" s="132">
        <f>N585</f>
        <v>0.64</v>
      </c>
    </row>
    <row r="549" spans="2:21" ht="20.100000000000001" customHeight="1">
      <c r="D549" s="600"/>
      <c r="E549" s="601"/>
      <c r="F549" s="512" t="s">
        <v>418</v>
      </c>
      <c r="G549" s="519"/>
      <c r="H549" s="519"/>
      <c r="I549" s="519"/>
      <c r="J549" s="519"/>
      <c r="K549" s="519"/>
      <c r="L549" s="513"/>
      <c r="M549" s="24" t="s">
        <v>5</v>
      </c>
      <c r="N549" s="25">
        <f>DATA</f>
        <v>41214</v>
      </c>
    </row>
    <row r="550" spans="2:21" ht="20.100000000000001" customHeight="1">
      <c r="D550" s="26" t="s">
        <v>77</v>
      </c>
      <c r="E550" s="27"/>
      <c r="F550" s="27"/>
      <c r="G550" s="27"/>
      <c r="H550" s="28"/>
      <c r="I550" s="214" t="s">
        <v>78</v>
      </c>
      <c r="J550" s="509" t="s">
        <v>79</v>
      </c>
      <c r="K550" s="511"/>
      <c r="L550" s="535" t="s">
        <v>80</v>
      </c>
      <c r="M550" s="536"/>
      <c r="N550" s="516" t="s">
        <v>81</v>
      </c>
    </row>
    <row r="551" spans="2:21" ht="20.100000000000001" customHeight="1">
      <c r="D551" s="31"/>
      <c r="E551" s="32"/>
      <c r="F551" s="32"/>
      <c r="G551" s="32"/>
      <c r="H551" s="33"/>
      <c r="I551" s="34"/>
      <c r="J551" s="51" t="s">
        <v>82</v>
      </c>
      <c r="K551" s="51" t="s">
        <v>83</v>
      </c>
      <c r="L551" s="51" t="s">
        <v>82</v>
      </c>
      <c r="M551" s="51" t="s">
        <v>84</v>
      </c>
      <c r="N551" s="517"/>
    </row>
    <row r="552" spans="2:21" ht="20.100000000000001" customHeight="1">
      <c r="B552" s="260" t="s">
        <v>415</v>
      </c>
      <c r="D552" s="264" t="str">
        <f t="shared" ref="D552:D558" si="46">IF(B552=0,0,VLOOKUP(B552,EQUIP,3,FALSE))</f>
        <v>TRATOR DE ESTEIRAS - COM LÂMINA (104 KW)</v>
      </c>
      <c r="E552" s="265"/>
      <c r="F552" s="265"/>
      <c r="G552" s="265"/>
      <c r="H552" s="266"/>
      <c r="I552" s="318">
        <v>1</v>
      </c>
      <c r="J552" s="318">
        <v>1</v>
      </c>
      <c r="K552" s="318">
        <f>1-J552</f>
        <v>0</v>
      </c>
      <c r="L552" s="318">
        <f t="shared" ref="L552:L558" si="47">IF(B552=0,0,VLOOKUP(B552,EQUIP,6,FALSE))</f>
        <v>334.66</v>
      </c>
      <c r="M552" s="318">
        <f t="shared" ref="M552:M558" si="48">IF(B552=0,0,VLOOKUP(B552,EQUIP,7,FALSE))</f>
        <v>22.39</v>
      </c>
      <c r="N552" s="319">
        <f t="shared" ref="N552:N558" si="49">ROUND(I552*J552*L552+I552*K552*M552,2)</f>
        <v>334.66</v>
      </c>
    </row>
    <row r="553" spans="2:21" ht="20.100000000000001" customHeight="1">
      <c r="B553" s="260"/>
      <c r="D553" s="264">
        <f t="shared" si="46"/>
        <v>0</v>
      </c>
      <c r="E553" s="265"/>
      <c r="F553" s="265"/>
      <c r="G553" s="265"/>
      <c r="H553" s="266"/>
      <c r="I553" s="263"/>
      <c r="J553" s="263"/>
      <c r="K553" s="318"/>
      <c r="L553" s="318">
        <f t="shared" si="47"/>
        <v>0</v>
      </c>
      <c r="M553" s="318">
        <f t="shared" si="48"/>
        <v>0</v>
      </c>
      <c r="N553" s="319">
        <f t="shared" si="49"/>
        <v>0</v>
      </c>
    </row>
    <row r="554" spans="2:21" ht="20.100000000000001" customHeight="1">
      <c r="B554" s="260"/>
      <c r="D554" s="264">
        <f t="shared" si="46"/>
        <v>0</v>
      </c>
      <c r="E554" s="265"/>
      <c r="F554" s="265"/>
      <c r="G554" s="265"/>
      <c r="H554" s="266"/>
      <c r="I554" s="318"/>
      <c r="J554" s="318"/>
      <c r="K554" s="318"/>
      <c r="L554" s="318">
        <f t="shared" si="47"/>
        <v>0</v>
      </c>
      <c r="M554" s="318">
        <f t="shared" si="48"/>
        <v>0</v>
      </c>
      <c r="N554" s="319">
        <f t="shared" si="49"/>
        <v>0</v>
      </c>
    </row>
    <row r="555" spans="2:21" ht="20.100000000000001" customHeight="1">
      <c r="B555" s="260"/>
      <c r="D555" s="264">
        <f t="shared" si="46"/>
        <v>0</v>
      </c>
      <c r="E555" s="265"/>
      <c r="F555" s="265"/>
      <c r="G555" s="265"/>
      <c r="H555" s="266"/>
      <c r="I555" s="263"/>
      <c r="J555" s="263"/>
      <c r="K555" s="318"/>
      <c r="L555" s="318">
        <f t="shared" si="47"/>
        <v>0</v>
      </c>
      <c r="M555" s="318">
        <f t="shared" si="48"/>
        <v>0</v>
      </c>
      <c r="N555" s="319">
        <f t="shared" si="49"/>
        <v>0</v>
      </c>
    </row>
    <row r="556" spans="2:21" ht="20.100000000000001" customHeight="1">
      <c r="B556" s="260"/>
      <c r="D556" s="264">
        <f t="shared" si="46"/>
        <v>0</v>
      </c>
      <c r="E556" s="265"/>
      <c r="F556" s="265"/>
      <c r="G556" s="265"/>
      <c r="H556" s="266"/>
      <c r="I556" s="263"/>
      <c r="J556" s="263"/>
      <c r="K556" s="318"/>
      <c r="L556" s="318">
        <f t="shared" si="47"/>
        <v>0</v>
      </c>
      <c r="M556" s="318">
        <f t="shared" si="48"/>
        <v>0</v>
      </c>
      <c r="N556" s="319">
        <f t="shared" si="49"/>
        <v>0</v>
      </c>
    </row>
    <row r="557" spans="2:21" ht="20.100000000000001" customHeight="1">
      <c r="B557" s="260"/>
      <c r="D557" s="264">
        <f t="shared" si="46"/>
        <v>0</v>
      </c>
      <c r="E557" s="265"/>
      <c r="F557" s="265"/>
      <c r="G557" s="265"/>
      <c r="H557" s="266"/>
      <c r="I557" s="263"/>
      <c r="J557" s="318"/>
      <c r="K557" s="318"/>
      <c r="L557" s="318">
        <f t="shared" si="47"/>
        <v>0</v>
      </c>
      <c r="M557" s="318">
        <f t="shared" si="48"/>
        <v>0</v>
      </c>
      <c r="N557" s="319">
        <f t="shared" si="49"/>
        <v>0</v>
      </c>
    </row>
    <row r="558" spans="2:21" ht="20.100000000000001" customHeight="1">
      <c r="B558" s="260"/>
      <c r="D558" s="264">
        <f t="shared" si="46"/>
        <v>0</v>
      </c>
      <c r="E558" s="265"/>
      <c r="F558" s="265"/>
      <c r="G558" s="265"/>
      <c r="H558" s="266"/>
      <c r="I558" s="263"/>
      <c r="J558" s="318"/>
      <c r="K558" s="318"/>
      <c r="L558" s="318">
        <f t="shared" si="47"/>
        <v>0</v>
      </c>
      <c r="M558" s="318">
        <f t="shared" si="48"/>
        <v>0</v>
      </c>
      <c r="N558" s="319">
        <f t="shared" si="49"/>
        <v>0</v>
      </c>
    </row>
    <row r="559" spans="2:21" ht="20.100000000000001" customHeight="1">
      <c r="D559" s="155"/>
      <c r="E559" s="156"/>
      <c r="F559" s="156"/>
      <c r="G559" s="156"/>
      <c r="H559" s="156"/>
      <c r="I559" s="235"/>
      <c r="J559" s="157"/>
      <c r="K559" s="157"/>
      <c r="L559" s="216"/>
      <c r="M559" s="42" t="s">
        <v>89</v>
      </c>
      <c r="N559" s="270">
        <f>SUM(N552:N558)</f>
        <v>334.66</v>
      </c>
    </row>
    <row r="560" spans="2:21" ht="3.95" customHeight="1">
      <c r="D560" s="158"/>
      <c r="E560" s="159"/>
      <c r="F560" s="159"/>
      <c r="G560" s="160"/>
      <c r="H560" s="159"/>
      <c r="I560" s="236"/>
      <c r="J560" s="161"/>
      <c r="K560" s="162"/>
      <c r="L560" s="163"/>
      <c r="M560" s="163"/>
      <c r="N560" s="300"/>
    </row>
    <row r="561" spans="2:14" ht="20.100000000000001" customHeight="1">
      <c r="D561" s="518" t="s">
        <v>90</v>
      </c>
      <c r="E561" s="519"/>
      <c r="F561" s="519"/>
      <c r="G561" s="519"/>
      <c r="H561" s="519"/>
      <c r="I561" s="519"/>
      <c r="J561" s="513"/>
      <c r="K561" s="50" t="s">
        <v>91</v>
      </c>
      <c r="L561" s="51" t="s">
        <v>92</v>
      </c>
      <c r="M561" s="51" t="s">
        <v>93</v>
      </c>
      <c r="N561" s="272" t="s">
        <v>94</v>
      </c>
    </row>
    <row r="562" spans="2:14" ht="20.100000000000001" customHeight="1">
      <c r="B562" s="260" t="s">
        <v>247</v>
      </c>
      <c r="D562" s="264" t="str">
        <f>IF(B562=0,0,VLOOKUP(B562,MO,2,FALSE))</f>
        <v>ENCARREGADO DE TURMA</v>
      </c>
      <c r="E562" s="53"/>
      <c r="F562" s="53"/>
      <c r="G562" s="53"/>
      <c r="H562" s="53"/>
      <c r="I562" s="36"/>
      <c r="J562" s="54"/>
      <c r="K562" s="152"/>
      <c r="L562" s="164">
        <v>0.5</v>
      </c>
      <c r="M562" s="263">
        <f>IF(B562=0,0,VLOOKUP(B562,MO,6,FALSE))</f>
        <v>27</v>
      </c>
      <c r="N562" s="316">
        <f>ROUND(L562*M562,2)</f>
        <v>13.5</v>
      </c>
    </row>
    <row r="563" spans="2:14" ht="20.100000000000001" customHeight="1">
      <c r="B563" s="260" t="s">
        <v>248</v>
      </c>
      <c r="D563" s="264" t="str">
        <f>IF(B563=0,0,VLOOKUP(B563,MO,2,FALSE))</f>
        <v>SERVENTE</v>
      </c>
      <c r="E563" s="53"/>
      <c r="F563" s="53"/>
      <c r="G563" s="53"/>
      <c r="H563" s="53"/>
      <c r="I563" s="36"/>
      <c r="J563" s="54"/>
      <c r="K563" s="152"/>
      <c r="L563" s="164">
        <v>2</v>
      </c>
      <c r="M563" s="263">
        <f>IF(B563=0,0,VLOOKUP(B563,MO,6,FALSE))</f>
        <v>7.9973000000000001</v>
      </c>
      <c r="N563" s="316">
        <f>ROUND(L563*M563,2)</f>
        <v>15.99</v>
      </c>
    </row>
    <row r="564" spans="2:14" ht="20.100000000000001" customHeight="1">
      <c r="B564" s="260"/>
      <c r="D564" s="52" t="s">
        <v>122</v>
      </c>
      <c r="E564" s="53"/>
      <c r="F564" s="53"/>
      <c r="G564" s="53"/>
      <c r="H564" s="53"/>
      <c r="I564" s="36"/>
      <c r="J564" s="54"/>
      <c r="K564" s="165">
        <v>0</v>
      </c>
      <c r="L564" s="320">
        <f>N562+N563</f>
        <v>29.490000000000002</v>
      </c>
      <c r="M564" s="164"/>
      <c r="N564" s="316">
        <f>ROUND(L564*K564,2)</f>
        <v>0</v>
      </c>
    </row>
    <row r="565" spans="2:14" ht="20.100000000000001" customHeight="1">
      <c r="D565" s="167"/>
      <c r="E565" s="59"/>
      <c r="F565" s="168"/>
      <c r="G565" s="168"/>
      <c r="H565" s="159"/>
      <c r="I565" s="236"/>
      <c r="J565" s="169"/>
      <c r="K565" s="162"/>
      <c r="L565" s="163"/>
      <c r="M565" s="62" t="s">
        <v>98</v>
      </c>
      <c r="N565" s="302">
        <f>SUM(N562:N564)</f>
        <v>29.490000000000002</v>
      </c>
    </row>
    <row r="566" spans="2:14" ht="3.95" customHeight="1">
      <c r="D566" s="158"/>
      <c r="E566" s="159"/>
      <c r="F566" s="159"/>
      <c r="G566" s="159"/>
      <c r="H566" s="159"/>
      <c r="I566" s="236"/>
      <c r="J566" s="169"/>
      <c r="K566" s="162"/>
      <c r="L566" s="163"/>
      <c r="M566" s="163"/>
      <c r="N566" s="300"/>
    </row>
    <row r="567" spans="2:14" ht="20.100000000000001" customHeight="1">
      <c r="D567" s="170"/>
      <c r="E567" s="168"/>
      <c r="F567" s="168"/>
      <c r="G567" s="168"/>
      <c r="H567" s="171"/>
      <c r="I567" s="237"/>
      <c r="J567" s="171"/>
      <c r="K567" s="509" t="s">
        <v>99</v>
      </c>
      <c r="L567" s="510"/>
      <c r="M567" s="511"/>
      <c r="N567" s="303">
        <f>+N559+N565</f>
        <v>364.15000000000003</v>
      </c>
    </row>
    <row r="568" spans="2:14" ht="3.95" customHeight="1">
      <c r="D568" s="172"/>
      <c r="E568" s="159"/>
      <c r="F568" s="159"/>
      <c r="G568" s="160"/>
      <c r="H568" s="159"/>
      <c r="I568" s="236"/>
      <c r="J568" s="161"/>
      <c r="K568" s="162"/>
      <c r="L568" s="163"/>
      <c r="M568" s="163"/>
      <c r="N568" s="300"/>
    </row>
    <row r="569" spans="2:14" ht="20.100000000000001" customHeight="1">
      <c r="D569" s="167"/>
      <c r="E569" s="509" t="s">
        <v>100</v>
      </c>
      <c r="F569" s="510"/>
      <c r="G569" s="510"/>
      <c r="H569" s="511"/>
      <c r="I569" s="238">
        <v>571</v>
      </c>
      <c r="J569" s="163"/>
      <c r="K569" s="506" t="s">
        <v>101</v>
      </c>
      <c r="L569" s="507"/>
      <c r="M569" s="508"/>
      <c r="N569" s="304">
        <f>ROUND(N567/I569,2)</f>
        <v>0.64</v>
      </c>
    </row>
    <row r="570" spans="2:14" ht="3.95" customHeight="1">
      <c r="D570" s="158"/>
      <c r="E570" s="159"/>
      <c r="F570" s="159"/>
      <c r="G570" s="173"/>
      <c r="H570" s="159"/>
      <c r="I570" s="163"/>
      <c r="J570" s="161"/>
      <c r="K570" s="161"/>
      <c r="L570" s="163"/>
      <c r="M570" s="161"/>
      <c r="N570" s="305"/>
    </row>
    <row r="571" spans="2:14" ht="20.100000000000001" customHeight="1">
      <c r="D571" s="49" t="s">
        <v>102</v>
      </c>
      <c r="E571" s="22"/>
      <c r="F571" s="22"/>
      <c r="G571" s="22"/>
      <c r="H571" s="22"/>
      <c r="I571" s="141"/>
      <c r="J571" s="23"/>
      <c r="K571" s="50" t="s">
        <v>103</v>
      </c>
      <c r="L571" s="51" t="s">
        <v>80</v>
      </c>
      <c r="M571" s="51" t="s">
        <v>104</v>
      </c>
      <c r="N571" s="272" t="s">
        <v>105</v>
      </c>
    </row>
    <row r="572" spans="2:14" ht="20.100000000000001" customHeight="1">
      <c r="B572" s="260"/>
      <c r="D572" s="264">
        <f>IF(B572=0,0,VLOOKUP(B572,MAT,3,FALSE))</f>
        <v>0</v>
      </c>
      <c r="E572" s="53"/>
      <c r="F572" s="53"/>
      <c r="G572" s="53"/>
      <c r="H572" s="53"/>
      <c r="I572" s="36"/>
      <c r="J572" s="54"/>
      <c r="K572" s="262">
        <f>IF(B572=0,0,VLOOKUP(B572,MAT,5,FALSE))</f>
        <v>0</v>
      </c>
      <c r="L572" s="267">
        <f>IF(B572=0,0,VLOOKUP(B572,MAT,6,FALSE))</f>
        <v>0</v>
      </c>
      <c r="M572" s="174"/>
      <c r="N572" s="316">
        <f>ROUND(L572*M572,2)</f>
        <v>0</v>
      </c>
    </row>
    <row r="573" spans="2:14" ht="20.100000000000001" customHeight="1">
      <c r="B573" s="260"/>
      <c r="D573" s="264">
        <f>IF(B573=0,0,VLOOKUP(B573,MAT,3,FALSE))</f>
        <v>0</v>
      </c>
      <c r="E573" s="53"/>
      <c r="F573" s="53"/>
      <c r="G573" s="53"/>
      <c r="H573" s="53"/>
      <c r="I573" s="36"/>
      <c r="J573" s="54"/>
      <c r="K573" s="262">
        <f>IF(B573=0,0,VLOOKUP(B573,MAT,5,FALSE))</f>
        <v>0</v>
      </c>
      <c r="L573" s="267">
        <f>IF(B573=0,0,VLOOKUP(B573,MAT,6,FALSE))</f>
        <v>0</v>
      </c>
      <c r="M573" s="174"/>
      <c r="N573" s="316">
        <f>ROUND(L573*M573,2)</f>
        <v>0</v>
      </c>
    </row>
    <row r="574" spans="2:14" ht="20.100000000000001" customHeight="1">
      <c r="B574" s="260"/>
      <c r="D574" s="264">
        <f>IF(B574=0,0,VLOOKUP(B574,MAT,3,FALSE))</f>
        <v>0</v>
      </c>
      <c r="E574" s="53"/>
      <c r="F574" s="53"/>
      <c r="G574" s="53"/>
      <c r="H574" s="53"/>
      <c r="I574" s="36"/>
      <c r="J574" s="54"/>
      <c r="K574" s="262">
        <f>IF(B574=0,0,VLOOKUP(B574,MAT,5,FALSE))</f>
        <v>0</v>
      </c>
      <c r="L574" s="267">
        <f>IF(B574=0,0,VLOOKUP(B574,MAT,6,FALSE))</f>
        <v>0</v>
      </c>
      <c r="M574" s="174"/>
      <c r="N574" s="316">
        <f>ROUND(L574*M574,2)</f>
        <v>0</v>
      </c>
    </row>
    <row r="575" spans="2:14" ht="20.100000000000001" customHeight="1">
      <c r="D575" s="158"/>
      <c r="E575" s="159"/>
      <c r="F575" s="159"/>
      <c r="G575" s="173"/>
      <c r="H575" s="159"/>
      <c r="I575" s="163"/>
      <c r="J575" s="161"/>
      <c r="K575" s="161"/>
      <c r="L575" s="163"/>
      <c r="M575" s="71" t="s">
        <v>106</v>
      </c>
      <c r="N575" s="437">
        <f>SUM(N572:N574)</f>
        <v>0</v>
      </c>
    </row>
    <row r="576" spans="2:14" ht="20.100000000000001" customHeight="1">
      <c r="D576" s="158"/>
      <c r="E576" s="159"/>
      <c r="F576" s="159"/>
      <c r="G576" s="173"/>
      <c r="H576" s="159"/>
      <c r="I576" s="163"/>
      <c r="J576" s="161"/>
      <c r="K576" s="161"/>
      <c r="L576" s="163"/>
      <c r="M576" s="161"/>
      <c r="N576" s="305"/>
    </row>
    <row r="577" spans="2:21" ht="20.100000000000001" customHeight="1">
      <c r="D577" s="527" t="s">
        <v>107</v>
      </c>
      <c r="E577" s="72" t="s">
        <v>2</v>
      </c>
      <c r="F577" s="73"/>
      <c r="G577" s="73"/>
      <c r="H577" s="74"/>
      <c r="I577" s="498" t="s">
        <v>108</v>
      </c>
      <c r="J577" s="499"/>
      <c r="K577" s="531" t="s">
        <v>103</v>
      </c>
      <c r="L577" s="514" t="s">
        <v>80</v>
      </c>
      <c r="M577" s="531" t="s">
        <v>109</v>
      </c>
      <c r="N577" s="529" t="s">
        <v>105</v>
      </c>
    </row>
    <row r="578" spans="2:21" ht="20.100000000000001" customHeight="1">
      <c r="D578" s="528"/>
      <c r="E578" s="512" t="s">
        <v>110</v>
      </c>
      <c r="F578" s="513"/>
      <c r="G578" s="512" t="s">
        <v>111</v>
      </c>
      <c r="H578" s="513"/>
      <c r="I578" s="500"/>
      <c r="J578" s="501"/>
      <c r="K578" s="532"/>
      <c r="L578" s="515"/>
      <c r="M578" s="532"/>
      <c r="N578" s="530"/>
    </row>
    <row r="579" spans="2:21" ht="20.100000000000001" customHeight="1">
      <c r="B579" s="260"/>
      <c r="D579" s="261">
        <f>IF(B579=0,0,VLOOKUP(B579,TRANS,3,FALSE))</f>
        <v>0</v>
      </c>
      <c r="E579" s="581">
        <f>IF(B579=0,0,VLOOKUP(B579,TRANS,5,FALSE))</f>
        <v>0</v>
      </c>
      <c r="F579" s="582"/>
      <c r="G579" s="502"/>
      <c r="H579" s="503"/>
      <c r="I579" s="533"/>
      <c r="J579" s="534">
        <v>50</v>
      </c>
      <c r="K579" s="262">
        <f>IF(B579=0,0,VLOOKUP(B579,TRANS,4,FALSE))</f>
        <v>0</v>
      </c>
      <c r="L579" s="387">
        <f>E579*I579</f>
        <v>0</v>
      </c>
      <c r="M579" s="70"/>
      <c r="N579" s="317">
        <f>ROUND(L579*M579,2)</f>
        <v>0</v>
      </c>
    </row>
    <row r="580" spans="2:21" ht="20.100000000000001" customHeight="1">
      <c r="B580" s="260"/>
      <c r="D580" s="261"/>
      <c r="E580" s="504"/>
      <c r="F580" s="505"/>
      <c r="G580" s="502"/>
      <c r="H580" s="503"/>
      <c r="I580" s="533"/>
      <c r="J580" s="534"/>
      <c r="K580" s="66"/>
      <c r="L580" s="67"/>
      <c r="M580" s="70"/>
      <c r="N580" s="278"/>
    </row>
    <row r="581" spans="2:21" ht="20.100000000000001" customHeight="1">
      <c r="D581" s="175"/>
      <c r="E581" s="176"/>
      <c r="F581" s="159"/>
      <c r="G581" s="173"/>
      <c r="H581" s="159"/>
      <c r="I581" s="163"/>
      <c r="J581" s="161"/>
      <c r="K581" s="161"/>
      <c r="L581" s="163"/>
      <c r="M581" s="71" t="s">
        <v>112</v>
      </c>
      <c r="N581" s="437">
        <f>SUM(N579:N580)</f>
        <v>0</v>
      </c>
    </row>
    <row r="582" spans="2:21" ht="3.95" customHeight="1" thickBot="1">
      <c r="D582" s="175"/>
      <c r="E582" s="159"/>
      <c r="F582" s="173"/>
      <c r="G582" s="159"/>
      <c r="H582" s="161"/>
      <c r="I582" s="163"/>
      <c r="J582" s="161"/>
      <c r="K582" s="161"/>
      <c r="L582" s="163"/>
      <c r="M582" s="161"/>
      <c r="N582" s="305"/>
    </row>
    <row r="583" spans="2:21" ht="20.100000000000001" customHeight="1">
      <c r="D583" s="177"/>
      <c r="E583" s="178"/>
      <c r="F583" s="178"/>
      <c r="G583" s="178"/>
      <c r="H583" s="179"/>
      <c r="I583" s="239"/>
      <c r="J583" s="127" t="s">
        <v>114</v>
      </c>
      <c r="K583" s="128"/>
      <c r="L583" s="306"/>
      <c r="M583" s="129">
        <v>0</v>
      </c>
      <c r="N583" s="447">
        <f>(+$N569+$N575+$N581)*M583</f>
        <v>0</v>
      </c>
    </row>
    <row r="584" spans="2:21" ht="20.100000000000001" customHeight="1" thickBot="1">
      <c r="D584" s="180"/>
      <c r="E584" s="181"/>
      <c r="F584" s="181"/>
      <c r="G584" s="181"/>
      <c r="H584" s="181"/>
      <c r="I584" s="240"/>
      <c r="J584" s="537" t="s">
        <v>149</v>
      </c>
      <c r="K584" s="538"/>
      <c r="L584" s="538"/>
      <c r="M584" s="538"/>
      <c r="N584" s="308">
        <f>+$N569+$N575+$N581+N583</f>
        <v>0.64</v>
      </c>
    </row>
    <row r="585" spans="2:21" ht="20.100000000000001" customHeight="1" thickBot="1">
      <c r="D585" s="182"/>
      <c r="E585" s="183"/>
      <c r="F585" s="183"/>
      <c r="G585" s="183"/>
      <c r="H585" s="183"/>
      <c r="I585" s="241"/>
      <c r="J585" s="184" t="s">
        <v>158</v>
      </c>
      <c r="K585" s="185"/>
      <c r="L585" s="309"/>
      <c r="M585" s="186">
        <v>0</v>
      </c>
      <c r="N585" s="310">
        <f>(M585*N584)+N584</f>
        <v>0.64</v>
      </c>
      <c r="O585" s="210"/>
      <c r="P585" s="16">
        <v>48.42</v>
      </c>
      <c r="R585" s="90">
        <f>(N585/P585)-1</f>
        <v>-0.98678232135481203</v>
      </c>
    </row>
    <row r="588" spans="2:21" ht="20.100000000000001" customHeight="1" thickBot="1"/>
    <row r="589" spans="2:21" ht="20.100000000000001" customHeight="1">
      <c r="D589" s="598" t="s">
        <v>343</v>
      </c>
      <c r="E589" s="599"/>
      <c r="F589" s="524" t="s">
        <v>74</v>
      </c>
      <c r="G589" s="525"/>
      <c r="H589" s="525"/>
      <c r="I589" s="525"/>
      <c r="J589" s="525"/>
      <c r="K589" s="525"/>
      <c r="L589" s="526"/>
      <c r="M589" s="19" t="s">
        <v>75</v>
      </c>
      <c r="N589" s="20" t="s">
        <v>76</v>
      </c>
      <c r="U589" s="132">
        <f>N626</f>
        <v>0.54</v>
      </c>
    </row>
    <row r="590" spans="2:21" ht="20.100000000000001" customHeight="1">
      <c r="D590" s="600"/>
      <c r="E590" s="601"/>
      <c r="F590" s="512" t="s">
        <v>422</v>
      </c>
      <c r="G590" s="519"/>
      <c r="H590" s="519"/>
      <c r="I590" s="519"/>
      <c r="J590" s="519"/>
      <c r="K590" s="519"/>
      <c r="L590" s="513"/>
      <c r="M590" s="24" t="s">
        <v>423</v>
      </c>
      <c r="N590" s="25">
        <f>DATA</f>
        <v>41214</v>
      </c>
    </row>
    <row r="591" spans="2:21" ht="20.100000000000001" customHeight="1">
      <c r="D591" s="26" t="s">
        <v>77</v>
      </c>
      <c r="E591" s="27"/>
      <c r="F591" s="27"/>
      <c r="G591" s="27"/>
      <c r="H591" s="28"/>
      <c r="I591" s="214" t="s">
        <v>78</v>
      </c>
      <c r="J591" s="509" t="s">
        <v>79</v>
      </c>
      <c r="K591" s="511"/>
      <c r="L591" s="535" t="s">
        <v>80</v>
      </c>
      <c r="M591" s="536"/>
      <c r="N591" s="516" t="s">
        <v>81</v>
      </c>
    </row>
    <row r="592" spans="2:21" ht="20.100000000000001" customHeight="1">
      <c r="D592" s="31"/>
      <c r="E592" s="32"/>
      <c r="F592" s="32"/>
      <c r="G592" s="32"/>
      <c r="H592" s="33"/>
      <c r="I592" s="34"/>
      <c r="J592" s="51" t="s">
        <v>82</v>
      </c>
      <c r="K592" s="51" t="s">
        <v>83</v>
      </c>
      <c r="L592" s="51" t="s">
        <v>82</v>
      </c>
      <c r="M592" s="51" t="s">
        <v>84</v>
      </c>
      <c r="N592" s="517"/>
    </row>
    <row r="593" spans="2:14" ht="20.100000000000001" customHeight="1">
      <c r="B593" s="260" t="s">
        <v>262</v>
      </c>
      <c r="D593" s="264" t="str">
        <f t="shared" ref="D593:D599" si="50">IF(B593=0,0,VLOOKUP(B593,EQUIP,3,FALSE))</f>
        <v>CAMINHÃO BASCULANTE 10m3 - 15 T (170 KW)</v>
      </c>
      <c r="E593" s="265"/>
      <c r="F593" s="265"/>
      <c r="G593" s="265"/>
      <c r="H593" s="266"/>
      <c r="I593" s="318">
        <v>1</v>
      </c>
      <c r="J593" s="318">
        <v>1</v>
      </c>
      <c r="K593" s="318">
        <f>1-J593</f>
        <v>0</v>
      </c>
      <c r="L593" s="318">
        <f t="shared" ref="L593:L599" si="51">IF(B593=0,0,VLOOKUP(B593,EQUIP,6,FALSE))</f>
        <v>135.83000000000001</v>
      </c>
      <c r="M593" s="318">
        <f t="shared" ref="M593:M599" si="52">IF(B593=0,0,VLOOKUP(B593,EQUIP,7,FALSE))</f>
        <v>20.47</v>
      </c>
      <c r="N593" s="319">
        <f t="shared" ref="N593:N599" si="53">ROUND(I593*J593*L593+I593*K593*M593,2)</f>
        <v>135.83000000000001</v>
      </c>
    </row>
    <row r="594" spans="2:14" ht="20.100000000000001" customHeight="1">
      <c r="B594" s="260"/>
      <c r="D594" s="264">
        <f t="shared" si="50"/>
        <v>0</v>
      </c>
      <c r="E594" s="265"/>
      <c r="F594" s="265"/>
      <c r="G594" s="265"/>
      <c r="H594" s="266"/>
      <c r="I594" s="263"/>
      <c r="J594" s="263"/>
      <c r="K594" s="318"/>
      <c r="L594" s="318">
        <f t="shared" si="51"/>
        <v>0</v>
      </c>
      <c r="M594" s="318">
        <f t="shared" si="52"/>
        <v>0</v>
      </c>
      <c r="N594" s="319">
        <f t="shared" si="53"/>
        <v>0</v>
      </c>
    </row>
    <row r="595" spans="2:14" ht="20.100000000000001" customHeight="1">
      <c r="B595" s="260"/>
      <c r="D595" s="264">
        <f t="shared" si="50"/>
        <v>0</v>
      </c>
      <c r="E595" s="265"/>
      <c r="F595" s="265"/>
      <c r="G595" s="265"/>
      <c r="H595" s="266"/>
      <c r="I595" s="318"/>
      <c r="J595" s="318"/>
      <c r="K595" s="318"/>
      <c r="L595" s="318">
        <f t="shared" si="51"/>
        <v>0</v>
      </c>
      <c r="M595" s="318">
        <f t="shared" si="52"/>
        <v>0</v>
      </c>
      <c r="N595" s="319">
        <f t="shared" si="53"/>
        <v>0</v>
      </c>
    </row>
    <row r="596" spans="2:14" ht="20.100000000000001" customHeight="1">
      <c r="B596" s="260"/>
      <c r="D596" s="264">
        <f t="shared" si="50"/>
        <v>0</v>
      </c>
      <c r="E596" s="265"/>
      <c r="F596" s="265"/>
      <c r="G596" s="265"/>
      <c r="H596" s="266"/>
      <c r="I596" s="263"/>
      <c r="J596" s="263"/>
      <c r="K596" s="318"/>
      <c r="L596" s="318">
        <f t="shared" si="51"/>
        <v>0</v>
      </c>
      <c r="M596" s="318">
        <f t="shared" si="52"/>
        <v>0</v>
      </c>
      <c r="N596" s="319">
        <f t="shared" si="53"/>
        <v>0</v>
      </c>
    </row>
    <row r="597" spans="2:14" ht="20.100000000000001" customHeight="1">
      <c r="B597" s="260"/>
      <c r="D597" s="264">
        <f t="shared" si="50"/>
        <v>0</v>
      </c>
      <c r="E597" s="265"/>
      <c r="F597" s="265"/>
      <c r="G597" s="265"/>
      <c r="H597" s="266"/>
      <c r="I597" s="263"/>
      <c r="J597" s="263"/>
      <c r="K597" s="318"/>
      <c r="L597" s="318">
        <f t="shared" si="51"/>
        <v>0</v>
      </c>
      <c r="M597" s="318">
        <f t="shared" si="52"/>
        <v>0</v>
      </c>
      <c r="N597" s="319">
        <f t="shared" si="53"/>
        <v>0</v>
      </c>
    </row>
    <row r="598" spans="2:14" ht="20.100000000000001" customHeight="1">
      <c r="B598" s="260"/>
      <c r="D598" s="264">
        <f t="shared" si="50"/>
        <v>0</v>
      </c>
      <c r="E598" s="265"/>
      <c r="F598" s="265"/>
      <c r="G598" s="265"/>
      <c r="H598" s="266"/>
      <c r="I598" s="263"/>
      <c r="J598" s="318"/>
      <c r="K598" s="318"/>
      <c r="L598" s="318">
        <f t="shared" si="51"/>
        <v>0</v>
      </c>
      <c r="M598" s="318">
        <f t="shared" si="52"/>
        <v>0</v>
      </c>
      <c r="N598" s="319">
        <f t="shared" si="53"/>
        <v>0</v>
      </c>
    </row>
    <row r="599" spans="2:14" ht="20.100000000000001" customHeight="1">
      <c r="B599" s="260"/>
      <c r="D599" s="264">
        <f t="shared" si="50"/>
        <v>0</v>
      </c>
      <c r="E599" s="265"/>
      <c r="F599" s="265"/>
      <c r="G599" s="265"/>
      <c r="H599" s="266"/>
      <c r="I599" s="263"/>
      <c r="J599" s="318"/>
      <c r="K599" s="318"/>
      <c r="L599" s="318">
        <f t="shared" si="51"/>
        <v>0</v>
      </c>
      <c r="M599" s="318">
        <f t="shared" si="52"/>
        <v>0</v>
      </c>
      <c r="N599" s="319">
        <f t="shared" si="53"/>
        <v>0</v>
      </c>
    </row>
    <row r="600" spans="2:14" ht="20.100000000000001" customHeight="1">
      <c r="D600" s="155"/>
      <c r="E600" s="156"/>
      <c r="F600" s="156"/>
      <c r="G600" s="156"/>
      <c r="H600" s="156"/>
      <c r="I600" s="235"/>
      <c r="J600" s="157"/>
      <c r="K600" s="157"/>
      <c r="L600" s="216"/>
      <c r="M600" s="42" t="s">
        <v>89</v>
      </c>
      <c r="N600" s="270">
        <f>SUM(N593:N599)</f>
        <v>135.83000000000001</v>
      </c>
    </row>
    <row r="601" spans="2:14" ht="3.95" customHeight="1">
      <c r="D601" s="158"/>
      <c r="E601" s="159"/>
      <c r="F601" s="159"/>
      <c r="G601" s="160"/>
      <c r="H601" s="159"/>
      <c r="I601" s="236"/>
      <c r="J601" s="161"/>
      <c r="K601" s="162"/>
      <c r="L601" s="163"/>
      <c r="M601" s="163"/>
      <c r="N601" s="300"/>
    </row>
    <row r="602" spans="2:14" ht="20.100000000000001" customHeight="1">
      <c r="D602" s="518" t="s">
        <v>90</v>
      </c>
      <c r="E602" s="519"/>
      <c r="F602" s="519"/>
      <c r="G602" s="519"/>
      <c r="H602" s="519"/>
      <c r="I602" s="519"/>
      <c r="J602" s="513"/>
      <c r="K602" s="50" t="s">
        <v>91</v>
      </c>
      <c r="L602" s="51" t="s">
        <v>92</v>
      </c>
      <c r="M602" s="51" t="s">
        <v>93</v>
      </c>
      <c r="N602" s="272" t="s">
        <v>94</v>
      </c>
    </row>
    <row r="603" spans="2:14" ht="20.100000000000001" customHeight="1">
      <c r="B603" s="260"/>
      <c r="D603" s="264">
        <f>IF(B603=0,0,VLOOKUP(B603,MO,2,FALSE))</f>
        <v>0</v>
      </c>
      <c r="E603" s="53"/>
      <c r="F603" s="53"/>
      <c r="G603" s="53"/>
      <c r="H603" s="53"/>
      <c r="I603" s="36"/>
      <c r="J603" s="54"/>
      <c r="K603" s="152"/>
      <c r="L603" s="164"/>
      <c r="M603" s="263">
        <f>IF(B603=0,0,VLOOKUP(B603,MO,6,FALSE))</f>
        <v>0</v>
      </c>
      <c r="N603" s="316">
        <f>ROUND(L603*M603,2)</f>
        <v>0</v>
      </c>
    </row>
    <row r="604" spans="2:14" ht="20.100000000000001" customHeight="1">
      <c r="B604" s="260"/>
      <c r="D604" s="264">
        <f>IF(B604=0,0,VLOOKUP(B604,MO,2,FALSE))</f>
        <v>0</v>
      </c>
      <c r="E604" s="53"/>
      <c r="F604" s="53"/>
      <c r="G604" s="53"/>
      <c r="H604" s="53"/>
      <c r="I604" s="36"/>
      <c r="J604" s="54"/>
      <c r="K604" s="152"/>
      <c r="L604" s="164"/>
      <c r="M604" s="263">
        <f>IF(B604=0,0,VLOOKUP(B604,MO,6,FALSE))</f>
        <v>0</v>
      </c>
      <c r="N604" s="316">
        <f>ROUND(L604*M604,2)</f>
        <v>0</v>
      </c>
    </row>
    <row r="605" spans="2:14" ht="20.100000000000001" customHeight="1">
      <c r="B605" s="260"/>
      <c r="D605" s="52" t="s">
        <v>122</v>
      </c>
      <c r="E605" s="53"/>
      <c r="F605" s="53"/>
      <c r="G605" s="53"/>
      <c r="H605" s="53"/>
      <c r="I605" s="36"/>
      <c r="J605" s="54"/>
      <c r="K605" s="165">
        <v>0</v>
      </c>
      <c r="L605" s="320">
        <f>N603+N604</f>
        <v>0</v>
      </c>
      <c r="M605" s="164"/>
      <c r="N605" s="316">
        <f>ROUND(L605*K605,2)</f>
        <v>0</v>
      </c>
    </row>
    <row r="606" spans="2:14" ht="20.100000000000001" customHeight="1">
      <c r="D606" s="167"/>
      <c r="E606" s="59"/>
      <c r="F606" s="168"/>
      <c r="G606" s="168"/>
      <c r="H606" s="159"/>
      <c r="I606" s="236"/>
      <c r="J606" s="169"/>
      <c r="K606" s="162"/>
      <c r="L606" s="163"/>
      <c r="M606" s="62" t="s">
        <v>98</v>
      </c>
      <c r="N606" s="437">
        <f>SUM(N603:N605)</f>
        <v>0</v>
      </c>
    </row>
    <row r="607" spans="2:14" ht="3.95" customHeight="1">
      <c r="D607" s="158"/>
      <c r="E607" s="159"/>
      <c r="F607" s="159"/>
      <c r="G607" s="159"/>
      <c r="H607" s="159"/>
      <c r="I607" s="236"/>
      <c r="J607" s="169"/>
      <c r="K607" s="162"/>
      <c r="L607" s="163"/>
      <c r="M607" s="163"/>
      <c r="N607" s="300"/>
    </row>
    <row r="608" spans="2:14" ht="20.100000000000001" customHeight="1">
      <c r="D608" s="170"/>
      <c r="E608" s="168"/>
      <c r="F608" s="168"/>
      <c r="G608" s="168"/>
      <c r="H608" s="171"/>
      <c r="I608" s="237"/>
      <c r="J608" s="171"/>
      <c r="K608" s="509" t="s">
        <v>99</v>
      </c>
      <c r="L608" s="510"/>
      <c r="M608" s="511"/>
      <c r="N608" s="303">
        <f>+N600+N606</f>
        <v>135.83000000000001</v>
      </c>
    </row>
    <row r="609" spans="2:14" ht="3.95" customHeight="1">
      <c r="D609" s="172"/>
      <c r="E609" s="159"/>
      <c r="F609" s="159"/>
      <c r="G609" s="160"/>
      <c r="H609" s="159"/>
      <c r="I609" s="236"/>
      <c r="J609" s="161"/>
      <c r="K609" s="162"/>
      <c r="L609" s="163"/>
      <c r="M609" s="163"/>
      <c r="N609" s="300"/>
    </row>
    <row r="610" spans="2:14" ht="20.100000000000001" customHeight="1">
      <c r="D610" s="167"/>
      <c r="E610" s="509" t="s">
        <v>100</v>
      </c>
      <c r="F610" s="510"/>
      <c r="G610" s="510"/>
      <c r="H610" s="511"/>
      <c r="I610" s="238">
        <v>253</v>
      </c>
      <c r="J610" s="163"/>
      <c r="K610" s="506" t="s">
        <v>101</v>
      </c>
      <c r="L610" s="507"/>
      <c r="M610" s="508"/>
      <c r="N610" s="304">
        <f>ROUND(N608/I610,2)</f>
        <v>0.54</v>
      </c>
    </row>
    <row r="611" spans="2:14" ht="3.95" customHeight="1">
      <c r="D611" s="158"/>
      <c r="E611" s="159"/>
      <c r="F611" s="159"/>
      <c r="G611" s="173"/>
      <c r="H611" s="159"/>
      <c r="I611" s="163"/>
      <c r="J611" s="161"/>
      <c r="K611" s="161"/>
      <c r="L611" s="163"/>
      <c r="M611" s="161"/>
      <c r="N611" s="305"/>
    </row>
    <row r="612" spans="2:14" ht="20.100000000000001" customHeight="1">
      <c r="D612" s="49" t="s">
        <v>102</v>
      </c>
      <c r="E612" s="22"/>
      <c r="F612" s="22"/>
      <c r="G612" s="22"/>
      <c r="H612" s="22"/>
      <c r="I612" s="141"/>
      <c r="J612" s="23"/>
      <c r="K612" s="50" t="s">
        <v>103</v>
      </c>
      <c r="L612" s="51" t="s">
        <v>80</v>
      </c>
      <c r="M612" s="51" t="s">
        <v>104</v>
      </c>
      <c r="N612" s="272" t="s">
        <v>105</v>
      </c>
    </row>
    <row r="613" spans="2:14" ht="20.100000000000001" customHeight="1">
      <c r="B613" s="260"/>
      <c r="D613" s="264">
        <f>IF(B613=0,0,VLOOKUP(B613,MAT,3,FALSE))</f>
        <v>0</v>
      </c>
      <c r="E613" s="53"/>
      <c r="F613" s="53"/>
      <c r="G613" s="53"/>
      <c r="H613" s="53"/>
      <c r="I613" s="36"/>
      <c r="J613" s="54"/>
      <c r="K613" s="262">
        <f>IF(B613=0,0,VLOOKUP(B613,MAT,5,FALSE))</f>
        <v>0</v>
      </c>
      <c r="L613" s="267">
        <f>IF(B613=0,0,VLOOKUP(B613,MAT,6,FALSE))</f>
        <v>0</v>
      </c>
      <c r="M613" s="174"/>
      <c r="N613" s="316">
        <f>ROUND(L613*M613,2)</f>
        <v>0</v>
      </c>
    </row>
    <row r="614" spans="2:14" ht="20.100000000000001" customHeight="1">
      <c r="B614" s="260"/>
      <c r="D614" s="264">
        <f>IF(B614=0,0,VLOOKUP(B614,MAT,3,FALSE))</f>
        <v>0</v>
      </c>
      <c r="E614" s="53"/>
      <c r="F614" s="53"/>
      <c r="G614" s="53"/>
      <c r="H614" s="53"/>
      <c r="I614" s="36"/>
      <c r="J614" s="54"/>
      <c r="K614" s="262">
        <f>IF(B614=0,0,VLOOKUP(B614,MAT,5,FALSE))</f>
        <v>0</v>
      </c>
      <c r="L614" s="267">
        <f>IF(B614=0,0,VLOOKUP(B614,MAT,6,FALSE))</f>
        <v>0</v>
      </c>
      <c r="M614" s="174"/>
      <c r="N614" s="316">
        <f>ROUND(L614*M614,2)</f>
        <v>0</v>
      </c>
    </row>
    <row r="615" spans="2:14" ht="20.100000000000001" customHeight="1">
      <c r="B615" s="260"/>
      <c r="D615" s="264">
        <f>IF(B615=0,0,VLOOKUP(B615,MAT,3,FALSE))</f>
        <v>0</v>
      </c>
      <c r="E615" s="53"/>
      <c r="F615" s="53"/>
      <c r="G615" s="53"/>
      <c r="H615" s="53"/>
      <c r="I615" s="36"/>
      <c r="J615" s="54"/>
      <c r="K615" s="262">
        <f>IF(B615=0,0,VLOOKUP(B615,MAT,5,FALSE))</f>
        <v>0</v>
      </c>
      <c r="L615" s="267">
        <f>IF(B615=0,0,VLOOKUP(B615,MAT,6,FALSE))</f>
        <v>0</v>
      </c>
      <c r="M615" s="174"/>
      <c r="N615" s="316">
        <f>ROUND(L615*M615,2)</f>
        <v>0</v>
      </c>
    </row>
    <row r="616" spans="2:14" ht="20.100000000000001" customHeight="1">
      <c r="D616" s="158"/>
      <c r="E616" s="159"/>
      <c r="F616" s="159"/>
      <c r="G616" s="173"/>
      <c r="H616" s="159"/>
      <c r="I616" s="163"/>
      <c r="J616" s="161"/>
      <c r="K616" s="161"/>
      <c r="L616" s="163"/>
      <c r="M616" s="71" t="s">
        <v>106</v>
      </c>
      <c r="N616" s="437">
        <f>SUM(N613:N615)</f>
        <v>0</v>
      </c>
    </row>
    <row r="617" spans="2:14" ht="20.100000000000001" customHeight="1">
      <c r="D617" s="158"/>
      <c r="E617" s="159"/>
      <c r="F617" s="159"/>
      <c r="G617" s="173"/>
      <c r="H617" s="159"/>
      <c r="I617" s="163"/>
      <c r="J617" s="161"/>
      <c r="K617" s="161"/>
      <c r="L617" s="163"/>
      <c r="M617" s="161"/>
      <c r="N617" s="305"/>
    </row>
    <row r="618" spans="2:14" ht="20.100000000000001" customHeight="1">
      <c r="D618" s="527" t="s">
        <v>107</v>
      </c>
      <c r="E618" s="72" t="s">
        <v>2</v>
      </c>
      <c r="F618" s="73"/>
      <c r="G618" s="73"/>
      <c r="H618" s="74"/>
      <c r="I618" s="498" t="s">
        <v>108</v>
      </c>
      <c r="J618" s="499"/>
      <c r="K618" s="531" t="s">
        <v>103</v>
      </c>
      <c r="L618" s="514" t="s">
        <v>80</v>
      </c>
      <c r="M618" s="531" t="s">
        <v>109</v>
      </c>
      <c r="N618" s="529" t="s">
        <v>105</v>
      </c>
    </row>
    <row r="619" spans="2:14" ht="20.100000000000001" customHeight="1">
      <c r="D619" s="528"/>
      <c r="E619" s="512" t="s">
        <v>110</v>
      </c>
      <c r="F619" s="513"/>
      <c r="G619" s="512" t="s">
        <v>111</v>
      </c>
      <c r="H619" s="513"/>
      <c r="I619" s="500"/>
      <c r="J619" s="501"/>
      <c r="K619" s="532"/>
      <c r="L619" s="515"/>
      <c r="M619" s="532"/>
      <c r="N619" s="530"/>
    </row>
    <row r="620" spans="2:14" ht="20.100000000000001" customHeight="1">
      <c r="B620" s="260"/>
      <c r="D620" s="261">
        <f>IF(B620=0,0,VLOOKUP(B620,TRANS,3,FALSE))</f>
        <v>0</v>
      </c>
      <c r="E620" s="581">
        <f>IF(B620=0,0,VLOOKUP(B620,TRANS,5,FALSE))</f>
        <v>0</v>
      </c>
      <c r="F620" s="582"/>
      <c r="G620" s="502"/>
      <c r="H620" s="503"/>
      <c r="I620" s="533"/>
      <c r="J620" s="534">
        <v>50</v>
      </c>
      <c r="K620" s="262">
        <f>IF(B620=0,0,VLOOKUP(B620,TRANS,4,FALSE))</f>
        <v>0</v>
      </c>
      <c r="L620" s="387">
        <f>E620*I620</f>
        <v>0</v>
      </c>
      <c r="M620" s="70"/>
      <c r="N620" s="317">
        <f>ROUND(L620*M620,2)</f>
        <v>0</v>
      </c>
    </row>
    <row r="621" spans="2:14" ht="20.100000000000001" customHeight="1">
      <c r="B621" s="260"/>
      <c r="D621" s="261"/>
      <c r="E621" s="504"/>
      <c r="F621" s="505"/>
      <c r="G621" s="502"/>
      <c r="H621" s="503"/>
      <c r="I621" s="533"/>
      <c r="J621" s="534"/>
      <c r="K621" s="66"/>
      <c r="L621" s="67"/>
      <c r="M621" s="70"/>
      <c r="N621" s="278"/>
    </row>
    <row r="622" spans="2:14" ht="20.100000000000001" customHeight="1">
      <c r="D622" s="175"/>
      <c r="E622" s="176"/>
      <c r="F622" s="159"/>
      <c r="G622" s="173"/>
      <c r="H622" s="159"/>
      <c r="I622" s="163"/>
      <c r="J622" s="161"/>
      <c r="K622" s="161"/>
      <c r="L622" s="163"/>
      <c r="M622" s="71" t="s">
        <v>112</v>
      </c>
      <c r="N622" s="437">
        <f>SUM(N620:N621)</f>
        <v>0</v>
      </c>
    </row>
    <row r="623" spans="2:14" ht="3.95" customHeight="1" thickBot="1">
      <c r="D623" s="175"/>
      <c r="E623" s="159"/>
      <c r="F623" s="173"/>
      <c r="G623" s="159"/>
      <c r="H623" s="161"/>
      <c r="I623" s="163"/>
      <c r="J623" s="161"/>
      <c r="K623" s="161"/>
      <c r="L623" s="163"/>
      <c r="M623" s="161"/>
      <c r="N623" s="305"/>
    </row>
    <row r="624" spans="2:14" ht="20.100000000000001" customHeight="1">
      <c r="D624" s="177"/>
      <c r="E624" s="178"/>
      <c r="F624" s="178"/>
      <c r="G624" s="178"/>
      <c r="H624" s="179"/>
      <c r="I624" s="239"/>
      <c r="J624" s="127" t="s">
        <v>114</v>
      </c>
      <c r="K624" s="128"/>
      <c r="L624" s="306"/>
      <c r="M624" s="129">
        <v>0</v>
      </c>
      <c r="N624" s="447">
        <f>(+$N610+$N616+$N622)*M624</f>
        <v>0</v>
      </c>
    </row>
    <row r="625" spans="2:21" ht="20.100000000000001" customHeight="1" thickBot="1">
      <c r="D625" s="180"/>
      <c r="E625" s="181"/>
      <c r="F625" s="181"/>
      <c r="G625" s="181"/>
      <c r="H625" s="181"/>
      <c r="I625" s="240"/>
      <c r="J625" s="537" t="s">
        <v>149</v>
      </c>
      <c r="K625" s="538"/>
      <c r="L625" s="538"/>
      <c r="M625" s="538"/>
      <c r="N625" s="308">
        <f>+$N610+$N616+$N622+N624</f>
        <v>0.54</v>
      </c>
    </row>
    <row r="626" spans="2:21" ht="20.100000000000001" customHeight="1" thickBot="1">
      <c r="D626" s="182"/>
      <c r="E626" s="183"/>
      <c r="F626" s="183"/>
      <c r="G626" s="183"/>
      <c r="H626" s="183"/>
      <c r="I626" s="241"/>
      <c r="J626" s="184" t="s">
        <v>158</v>
      </c>
      <c r="K626" s="185"/>
      <c r="L626" s="309"/>
      <c r="M626" s="186">
        <v>0</v>
      </c>
      <c r="N626" s="310">
        <f>(M626*N625)+N625</f>
        <v>0.54</v>
      </c>
      <c r="O626" s="210"/>
      <c r="P626" s="16">
        <v>48.42</v>
      </c>
      <c r="R626" s="90">
        <f>(N626/P626)-1</f>
        <v>-0.98884758364312264</v>
      </c>
    </row>
    <row r="629" spans="2:21" ht="20.100000000000001" customHeight="1" thickBot="1"/>
    <row r="630" spans="2:21" ht="20.100000000000001" customHeight="1">
      <c r="D630" s="598" t="s">
        <v>344</v>
      </c>
      <c r="E630" s="599"/>
      <c r="F630" s="524" t="s">
        <v>74</v>
      </c>
      <c r="G630" s="525"/>
      <c r="H630" s="525"/>
      <c r="I630" s="525"/>
      <c r="J630" s="525"/>
      <c r="K630" s="525"/>
      <c r="L630" s="526"/>
      <c r="M630" s="19" t="s">
        <v>75</v>
      </c>
      <c r="N630" s="20" t="s">
        <v>76</v>
      </c>
      <c r="U630" s="132">
        <f>N667</f>
        <v>0.69</v>
      </c>
    </row>
    <row r="631" spans="2:21" ht="20.100000000000001" customHeight="1">
      <c r="D631" s="600"/>
      <c r="E631" s="601"/>
      <c r="F631" s="512" t="s">
        <v>424</v>
      </c>
      <c r="G631" s="519"/>
      <c r="H631" s="519"/>
      <c r="I631" s="519"/>
      <c r="J631" s="519"/>
      <c r="K631" s="519"/>
      <c r="L631" s="513"/>
      <c r="M631" s="24" t="s">
        <v>423</v>
      </c>
      <c r="N631" s="25">
        <f>DATA</f>
        <v>41214</v>
      </c>
    </row>
    <row r="632" spans="2:21" ht="20.100000000000001" customHeight="1">
      <c r="D632" s="26" t="s">
        <v>77</v>
      </c>
      <c r="E632" s="27"/>
      <c r="F632" s="27"/>
      <c r="G632" s="27"/>
      <c r="H632" s="28"/>
      <c r="I632" s="214" t="s">
        <v>78</v>
      </c>
      <c r="J632" s="509" t="s">
        <v>79</v>
      </c>
      <c r="K632" s="511"/>
      <c r="L632" s="535" t="s">
        <v>80</v>
      </c>
      <c r="M632" s="536"/>
      <c r="N632" s="516" t="s">
        <v>81</v>
      </c>
    </row>
    <row r="633" spans="2:21" ht="20.100000000000001" customHeight="1">
      <c r="D633" s="31"/>
      <c r="E633" s="32"/>
      <c r="F633" s="32"/>
      <c r="G633" s="32"/>
      <c r="H633" s="33"/>
      <c r="I633" s="34"/>
      <c r="J633" s="51" t="s">
        <v>82</v>
      </c>
      <c r="K633" s="51" t="s">
        <v>83</v>
      </c>
      <c r="L633" s="51" t="s">
        <v>82</v>
      </c>
      <c r="M633" s="51" t="s">
        <v>84</v>
      </c>
      <c r="N633" s="517"/>
    </row>
    <row r="634" spans="2:21" ht="20.100000000000001" customHeight="1">
      <c r="B634" s="260" t="s">
        <v>262</v>
      </c>
      <c r="D634" s="264" t="str">
        <f t="shared" ref="D634:D640" si="54">IF(B634=0,0,VLOOKUP(B634,EQUIP,3,FALSE))</f>
        <v>CAMINHÃO BASCULANTE 10m3 - 15 T (170 KW)</v>
      </c>
      <c r="E634" s="265"/>
      <c r="F634" s="265"/>
      <c r="G634" s="265"/>
      <c r="H634" s="266"/>
      <c r="I634" s="318">
        <v>1</v>
      </c>
      <c r="J634" s="318">
        <v>1</v>
      </c>
      <c r="K634" s="318">
        <f>1-J634</f>
        <v>0</v>
      </c>
      <c r="L634" s="318">
        <f t="shared" ref="L634:L640" si="55">IF(B634=0,0,VLOOKUP(B634,EQUIP,6,FALSE))</f>
        <v>135.83000000000001</v>
      </c>
      <c r="M634" s="318">
        <f t="shared" ref="M634:M640" si="56">IF(B634=0,0,VLOOKUP(B634,EQUIP,7,FALSE))</f>
        <v>20.47</v>
      </c>
      <c r="N634" s="319">
        <f t="shared" ref="N634:N640" si="57">ROUND(I634*J634*L634+I634*K634*M634,2)</f>
        <v>135.83000000000001</v>
      </c>
    </row>
    <row r="635" spans="2:21" ht="20.100000000000001" customHeight="1">
      <c r="B635" s="260"/>
      <c r="D635" s="264">
        <f t="shared" si="54"/>
        <v>0</v>
      </c>
      <c r="E635" s="265"/>
      <c r="F635" s="265"/>
      <c r="G635" s="265"/>
      <c r="H635" s="266"/>
      <c r="I635" s="263"/>
      <c r="J635" s="263"/>
      <c r="K635" s="318"/>
      <c r="L635" s="318">
        <f t="shared" si="55"/>
        <v>0</v>
      </c>
      <c r="M635" s="318">
        <f t="shared" si="56"/>
        <v>0</v>
      </c>
      <c r="N635" s="319">
        <f t="shared" si="57"/>
        <v>0</v>
      </c>
    </row>
    <row r="636" spans="2:21" ht="20.100000000000001" customHeight="1">
      <c r="B636" s="260"/>
      <c r="D636" s="264">
        <f t="shared" si="54"/>
        <v>0</v>
      </c>
      <c r="E636" s="265"/>
      <c r="F636" s="265"/>
      <c r="G636" s="265"/>
      <c r="H636" s="266"/>
      <c r="I636" s="318"/>
      <c r="J636" s="318"/>
      <c r="K636" s="318"/>
      <c r="L636" s="318">
        <f t="shared" si="55"/>
        <v>0</v>
      </c>
      <c r="M636" s="318">
        <f t="shared" si="56"/>
        <v>0</v>
      </c>
      <c r="N636" s="319">
        <f t="shared" si="57"/>
        <v>0</v>
      </c>
    </row>
    <row r="637" spans="2:21" ht="20.100000000000001" customHeight="1">
      <c r="B637" s="260"/>
      <c r="D637" s="264">
        <f t="shared" si="54"/>
        <v>0</v>
      </c>
      <c r="E637" s="265"/>
      <c r="F637" s="265"/>
      <c r="G637" s="265"/>
      <c r="H637" s="266"/>
      <c r="I637" s="263"/>
      <c r="J637" s="263"/>
      <c r="K637" s="318"/>
      <c r="L637" s="318">
        <f t="shared" si="55"/>
        <v>0</v>
      </c>
      <c r="M637" s="318">
        <f t="shared" si="56"/>
        <v>0</v>
      </c>
      <c r="N637" s="319">
        <f t="shared" si="57"/>
        <v>0</v>
      </c>
    </row>
    <row r="638" spans="2:21" ht="20.100000000000001" customHeight="1">
      <c r="B638" s="260"/>
      <c r="D638" s="264">
        <f t="shared" si="54"/>
        <v>0</v>
      </c>
      <c r="E638" s="265"/>
      <c r="F638" s="265"/>
      <c r="G638" s="265"/>
      <c r="H638" s="266"/>
      <c r="I638" s="263"/>
      <c r="J638" s="263"/>
      <c r="K638" s="318"/>
      <c r="L638" s="318">
        <f t="shared" si="55"/>
        <v>0</v>
      </c>
      <c r="M638" s="318">
        <f t="shared" si="56"/>
        <v>0</v>
      </c>
      <c r="N638" s="319">
        <f t="shared" si="57"/>
        <v>0</v>
      </c>
    </row>
    <row r="639" spans="2:21" ht="20.100000000000001" customHeight="1">
      <c r="B639" s="260"/>
      <c r="D639" s="264">
        <f t="shared" si="54"/>
        <v>0</v>
      </c>
      <c r="E639" s="265"/>
      <c r="F639" s="265"/>
      <c r="G639" s="265"/>
      <c r="H639" s="266"/>
      <c r="I639" s="263"/>
      <c r="J639" s="318"/>
      <c r="K639" s="318"/>
      <c r="L639" s="318">
        <f t="shared" si="55"/>
        <v>0</v>
      </c>
      <c r="M639" s="318">
        <f t="shared" si="56"/>
        <v>0</v>
      </c>
      <c r="N639" s="319">
        <f t="shared" si="57"/>
        <v>0</v>
      </c>
    </row>
    <row r="640" spans="2:21" ht="20.100000000000001" customHeight="1">
      <c r="B640" s="260"/>
      <c r="D640" s="264">
        <f t="shared" si="54"/>
        <v>0</v>
      </c>
      <c r="E640" s="265"/>
      <c r="F640" s="265"/>
      <c r="G640" s="265"/>
      <c r="H640" s="266"/>
      <c r="I640" s="263"/>
      <c r="J640" s="318"/>
      <c r="K640" s="318"/>
      <c r="L640" s="318">
        <f t="shared" si="55"/>
        <v>0</v>
      </c>
      <c r="M640" s="318">
        <f t="shared" si="56"/>
        <v>0</v>
      </c>
      <c r="N640" s="319">
        <f t="shared" si="57"/>
        <v>0</v>
      </c>
    </row>
    <row r="641" spans="2:14" ht="20.100000000000001" customHeight="1">
      <c r="D641" s="155"/>
      <c r="E641" s="156"/>
      <c r="F641" s="156"/>
      <c r="G641" s="156"/>
      <c r="H641" s="156"/>
      <c r="I641" s="235"/>
      <c r="J641" s="157"/>
      <c r="K641" s="157"/>
      <c r="L641" s="216"/>
      <c r="M641" s="42" t="s">
        <v>89</v>
      </c>
      <c r="N641" s="270">
        <f>SUM(N634:N640)</f>
        <v>135.83000000000001</v>
      </c>
    </row>
    <row r="642" spans="2:14" ht="3.95" customHeight="1">
      <c r="D642" s="158"/>
      <c r="E642" s="159"/>
      <c r="F642" s="159"/>
      <c r="G642" s="160"/>
      <c r="H642" s="159"/>
      <c r="I642" s="236"/>
      <c r="J642" s="161"/>
      <c r="K642" s="162"/>
      <c r="L642" s="163"/>
      <c r="M642" s="163"/>
      <c r="N642" s="300"/>
    </row>
    <row r="643" spans="2:14" ht="20.100000000000001" customHeight="1">
      <c r="D643" s="518" t="s">
        <v>90</v>
      </c>
      <c r="E643" s="519"/>
      <c r="F643" s="519"/>
      <c r="G643" s="519"/>
      <c r="H643" s="519"/>
      <c r="I643" s="519"/>
      <c r="J643" s="513"/>
      <c r="K643" s="50" t="s">
        <v>91</v>
      </c>
      <c r="L643" s="51" t="s">
        <v>92</v>
      </c>
      <c r="M643" s="51" t="s">
        <v>93</v>
      </c>
      <c r="N643" s="272" t="s">
        <v>94</v>
      </c>
    </row>
    <row r="644" spans="2:14" ht="20.100000000000001" customHeight="1">
      <c r="B644" s="260"/>
      <c r="D644" s="264">
        <f>IF(B644=0,0,VLOOKUP(B644,MO,2,FALSE))</f>
        <v>0</v>
      </c>
      <c r="E644" s="53"/>
      <c r="F644" s="53"/>
      <c r="G644" s="53"/>
      <c r="H644" s="53"/>
      <c r="I644" s="36"/>
      <c r="J644" s="54"/>
      <c r="K644" s="152"/>
      <c r="L644" s="164"/>
      <c r="M644" s="263">
        <f>IF(B644=0,0,VLOOKUP(B644,MO,6,FALSE))</f>
        <v>0</v>
      </c>
      <c r="N644" s="316">
        <f>ROUND(L644*M644,2)</f>
        <v>0</v>
      </c>
    </row>
    <row r="645" spans="2:14" ht="20.100000000000001" customHeight="1">
      <c r="B645" s="260"/>
      <c r="D645" s="264">
        <f>IF(B645=0,0,VLOOKUP(B645,MO,2,FALSE))</f>
        <v>0</v>
      </c>
      <c r="E645" s="53"/>
      <c r="F645" s="53"/>
      <c r="G645" s="53"/>
      <c r="H645" s="53"/>
      <c r="I645" s="36"/>
      <c r="J645" s="54"/>
      <c r="K645" s="152"/>
      <c r="L645" s="164"/>
      <c r="M645" s="263">
        <f>IF(B645=0,0,VLOOKUP(B645,MO,6,FALSE))</f>
        <v>0</v>
      </c>
      <c r="N645" s="316">
        <f>ROUND(L645*M645,2)</f>
        <v>0</v>
      </c>
    </row>
    <row r="646" spans="2:14" ht="20.100000000000001" customHeight="1">
      <c r="B646" s="260"/>
      <c r="D646" s="52" t="s">
        <v>122</v>
      </c>
      <c r="E646" s="53"/>
      <c r="F646" s="53"/>
      <c r="G646" s="53"/>
      <c r="H646" s="53"/>
      <c r="I646" s="36"/>
      <c r="J646" s="54"/>
      <c r="K646" s="165">
        <v>0</v>
      </c>
      <c r="L646" s="320">
        <f>N644+N645</f>
        <v>0</v>
      </c>
      <c r="M646" s="164"/>
      <c r="N646" s="316">
        <f>ROUND(L646*K646,2)</f>
        <v>0</v>
      </c>
    </row>
    <row r="647" spans="2:14" ht="20.100000000000001" customHeight="1">
      <c r="D647" s="167"/>
      <c r="E647" s="59"/>
      <c r="F647" s="168"/>
      <c r="G647" s="168"/>
      <c r="H647" s="159"/>
      <c r="I647" s="236"/>
      <c r="J647" s="169"/>
      <c r="K647" s="162"/>
      <c r="L647" s="163"/>
      <c r="M647" s="62" t="s">
        <v>98</v>
      </c>
      <c r="N647" s="437">
        <f>SUM(N644:N646)</f>
        <v>0</v>
      </c>
    </row>
    <row r="648" spans="2:14" ht="3.95" customHeight="1">
      <c r="D648" s="158"/>
      <c r="E648" s="159"/>
      <c r="F648" s="159"/>
      <c r="G648" s="159"/>
      <c r="H648" s="159"/>
      <c r="I648" s="236"/>
      <c r="J648" s="169"/>
      <c r="K648" s="162"/>
      <c r="L648" s="163"/>
      <c r="M648" s="163"/>
      <c r="N648" s="300"/>
    </row>
    <row r="649" spans="2:14" ht="20.100000000000001" customHeight="1">
      <c r="D649" s="170"/>
      <c r="E649" s="168"/>
      <c r="F649" s="168"/>
      <c r="G649" s="168"/>
      <c r="H649" s="171"/>
      <c r="I649" s="237"/>
      <c r="J649" s="171"/>
      <c r="K649" s="509" t="s">
        <v>99</v>
      </c>
      <c r="L649" s="510"/>
      <c r="M649" s="511"/>
      <c r="N649" s="303">
        <f>+N641+N647</f>
        <v>135.83000000000001</v>
      </c>
    </row>
    <row r="650" spans="2:14" ht="3.95" customHeight="1">
      <c r="D650" s="172"/>
      <c r="E650" s="159"/>
      <c r="F650" s="159"/>
      <c r="G650" s="160"/>
      <c r="H650" s="159"/>
      <c r="I650" s="236"/>
      <c r="J650" s="161"/>
      <c r="K650" s="162"/>
      <c r="L650" s="163"/>
      <c r="M650" s="163"/>
      <c r="N650" s="300"/>
    </row>
    <row r="651" spans="2:14" ht="20.100000000000001" customHeight="1">
      <c r="D651" s="167"/>
      <c r="E651" s="509" t="s">
        <v>100</v>
      </c>
      <c r="F651" s="510"/>
      <c r="G651" s="510"/>
      <c r="H651" s="511"/>
      <c r="I651" s="238">
        <v>197</v>
      </c>
      <c r="J651" s="163"/>
      <c r="K651" s="506" t="s">
        <v>101</v>
      </c>
      <c r="L651" s="507"/>
      <c r="M651" s="508"/>
      <c r="N651" s="304">
        <f>ROUND(N649/I651,2)</f>
        <v>0.69</v>
      </c>
    </row>
    <row r="652" spans="2:14" ht="3.95" customHeight="1">
      <c r="D652" s="158"/>
      <c r="E652" s="159"/>
      <c r="F652" s="159"/>
      <c r="G652" s="173"/>
      <c r="H652" s="159"/>
      <c r="I652" s="163"/>
      <c r="J652" s="161"/>
      <c r="K652" s="161"/>
      <c r="L652" s="163"/>
      <c r="M652" s="161"/>
      <c r="N652" s="305"/>
    </row>
    <row r="653" spans="2:14" ht="20.100000000000001" customHeight="1">
      <c r="D653" s="49" t="s">
        <v>102</v>
      </c>
      <c r="E653" s="22"/>
      <c r="F653" s="22"/>
      <c r="G653" s="22"/>
      <c r="H653" s="22"/>
      <c r="I653" s="141"/>
      <c r="J653" s="23"/>
      <c r="K653" s="50" t="s">
        <v>103</v>
      </c>
      <c r="L653" s="51" t="s">
        <v>80</v>
      </c>
      <c r="M653" s="51" t="s">
        <v>104</v>
      </c>
      <c r="N653" s="272" t="s">
        <v>105</v>
      </c>
    </row>
    <row r="654" spans="2:14" ht="20.100000000000001" customHeight="1">
      <c r="B654" s="260"/>
      <c r="D654" s="264">
        <f>IF(B654=0,0,VLOOKUP(B654,MAT,3,FALSE))</f>
        <v>0</v>
      </c>
      <c r="E654" s="53"/>
      <c r="F654" s="53"/>
      <c r="G654" s="53"/>
      <c r="H654" s="53"/>
      <c r="I654" s="36"/>
      <c r="J654" s="54"/>
      <c r="K654" s="262">
        <f>IF(B654=0,0,VLOOKUP(B654,MAT,5,FALSE))</f>
        <v>0</v>
      </c>
      <c r="L654" s="267">
        <f>IF(B654=0,0,VLOOKUP(B654,MAT,6,FALSE))</f>
        <v>0</v>
      </c>
      <c r="M654" s="174"/>
      <c r="N654" s="316">
        <f>ROUND(L654*M654,2)</f>
        <v>0</v>
      </c>
    </row>
    <row r="655" spans="2:14" ht="20.100000000000001" customHeight="1">
      <c r="B655" s="260"/>
      <c r="D655" s="264">
        <f>IF(B655=0,0,VLOOKUP(B655,MAT,3,FALSE))</f>
        <v>0</v>
      </c>
      <c r="E655" s="53"/>
      <c r="F655" s="53"/>
      <c r="G655" s="53"/>
      <c r="H655" s="53"/>
      <c r="I655" s="36"/>
      <c r="J655" s="54"/>
      <c r="K655" s="262">
        <f>IF(B655=0,0,VLOOKUP(B655,MAT,5,FALSE))</f>
        <v>0</v>
      </c>
      <c r="L655" s="267">
        <f>IF(B655=0,0,VLOOKUP(B655,MAT,6,FALSE))</f>
        <v>0</v>
      </c>
      <c r="M655" s="174"/>
      <c r="N655" s="316">
        <f>ROUND(L655*M655,2)</f>
        <v>0</v>
      </c>
    </row>
    <row r="656" spans="2:14" ht="20.100000000000001" customHeight="1">
      <c r="B656" s="260"/>
      <c r="D656" s="264">
        <f>IF(B656=0,0,VLOOKUP(B656,MAT,3,FALSE))</f>
        <v>0</v>
      </c>
      <c r="E656" s="53"/>
      <c r="F656" s="53"/>
      <c r="G656" s="53"/>
      <c r="H656" s="53"/>
      <c r="I656" s="36"/>
      <c r="J656" s="54"/>
      <c r="K656" s="262">
        <f>IF(B656=0,0,VLOOKUP(B656,MAT,5,FALSE))</f>
        <v>0</v>
      </c>
      <c r="L656" s="267">
        <f>IF(B656=0,0,VLOOKUP(B656,MAT,6,FALSE))</f>
        <v>0</v>
      </c>
      <c r="M656" s="174"/>
      <c r="N656" s="316">
        <f>ROUND(L656*M656,2)</f>
        <v>0</v>
      </c>
    </row>
    <row r="657" spans="2:21" ht="20.100000000000001" customHeight="1">
      <c r="D657" s="158"/>
      <c r="E657" s="159"/>
      <c r="F657" s="159"/>
      <c r="G657" s="173"/>
      <c r="H657" s="159"/>
      <c r="I657" s="163"/>
      <c r="J657" s="161"/>
      <c r="K657" s="161"/>
      <c r="L657" s="163"/>
      <c r="M657" s="71" t="s">
        <v>106</v>
      </c>
      <c r="N657" s="437">
        <f>SUM(N654:N656)</f>
        <v>0</v>
      </c>
    </row>
    <row r="658" spans="2:21" ht="20.100000000000001" customHeight="1">
      <c r="D658" s="158"/>
      <c r="E658" s="159"/>
      <c r="F658" s="159"/>
      <c r="G658" s="173"/>
      <c r="H658" s="159"/>
      <c r="I658" s="163"/>
      <c r="J658" s="161"/>
      <c r="K658" s="161"/>
      <c r="L658" s="163"/>
      <c r="M658" s="161"/>
      <c r="N658" s="305"/>
    </row>
    <row r="659" spans="2:21" ht="20.100000000000001" customHeight="1">
      <c r="D659" s="527" t="s">
        <v>107</v>
      </c>
      <c r="E659" s="72" t="s">
        <v>2</v>
      </c>
      <c r="F659" s="73"/>
      <c r="G659" s="73"/>
      <c r="H659" s="74"/>
      <c r="I659" s="498" t="s">
        <v>108</v>
      </c>
      <c r="J659" s="499"/>
      <c r="K659" s="531" t="s">
        <v>103</v>
      </c>
      <c r="L659" s="514" t="s">
        <v>80</v>
      </c>
      <c r="M659" s="531" t="s">
        <v>109</v>
      </c>
      <c r="N659" s="529" t="s">
        <v>105</v>
      </c>
    </row>
    <row r="660" spans="2:21" ht="20.100000000000001" customHeight="1">
      <c r="D660" s="528"/>
      <c r="E660" s="512" t="s">
        <v>110</v>
      </c>
      <c r="F660" s="513"/>
      <c r="G660" s="512" t="s">
        <v>111</v>
      </c>
      <c r="H660" s="513"/>
      <c r="I660" s="500"/>
      <c r="J660" s="501"/>
      <c r="K660" s="532"/>
      <c r="L660" s="515"/>
      <c r="M660" s="532"/>
      <c r="N660" s="530"/>
    </row>
    <row r="661" spans="2:21" ht="20.100000000000001" customHeight="1">
      <c r="B661" s="260"/>
      <c r="D661" s="261">
        <f>IF(B661=0,0,VLOOKUP(B661,TRANS,3,FALSE))</f>
        <v>0</v>
      </c>
      <c r="E661" s="581">
        <f>IF(B661=0,0,VLOOKUP(B661,TRANS,5,FALSE))</f>
        <v>0</v>
      </c>
      <c r="F661" s="582"/>
      <c r="G661" s="502"/>
      <c r="H661" s="503"/>
      <c r="I661" s="533"/>
      <c r="J661" s="534">
        <v>50</v>
      </c>
      <c r="K661" s="262">
        <f>IF(B661=0,0,VLOOKUP(B661,TRANS,4,FALSE))</f>
        <v>0</v>
      </c>
      <c r="L661" s="387">
        <f>E661*I661</f>
        <v>0</v>
      </c>
      <c r="M661" s="70"/>
      <c r="N661" s="317">
        <f>ROUND(L661*M661,2)</f>
        <v>0</v>
      </c>
    </row>
    <row r="662" spans="2:21" ht="20.100000000000001" customHeight="1">
      <c r="B662" s="260"/>
      <c r="D662" s="261"/>
      <c r="E662" s="504"/>
      <c r="F662" s="505"/>
      <c r="G662" s="502"/>
      <c r="H662" s="503"/>
      <c r="I662" s="533"/>
      <c r="J662" s="534"/>
      <c r="K662" s="66"/>
      <c r="L662" s="67"/>
      <c r="M662" s="70"/>
      <c r="N662" s="278"/>
    </row>
    <row r="663" spans="2:21" ht="20.100000000000001" customHeight="1">
      <c r="D663" s="175"/>
      <c r="E663" s="176"/>
      <c r="F663" s="159"/>
      <c r="G663" s="173"/>
      <c r="H663" s="159"/>
      <c r="I663" s="163"/>
      <c r="J663" s="161"/>
      <c r="K663" s="161"/>
      <c r="L663" s="163"/>
      <c r="M663" s="71" t="s">
        <v>112</v>
      </c>
      <c r="N663" s="437">
        <f>SUM(N661:N662)</f>
        <v>0</v>
      </c>
    </row>
    <row r="664" spans="2:21" ht="3.95" customHeight="1" thickBot="1">
      <c r="D664" s="175"/>
      <c r="E664" s="159"/>
      <c r="F664" s="173"/>
      <c r="G664" s="159"/>
      <c r="H664" s="161"/>
      <c r="I664" s="163"/>
      <c r="J664" s="161"/>
      <c r="K664" s="161"/>
      <c r="L664" s="163"/>
      <c r="M664" s="161">
        <v>0</v>
      </c>
      <c r="N664" s="305"/>
    </row>
    <row r="665" spans="2:21" ht="20.100000000000001" customHeight="1">
      <c r="D665" s="177"/>
      <c r="E665" s="178"/>
      <c r="F665" s="178"/>
      <c r="G665" s="178"/>
      <c r="H665" s="179"/>
      <c r="I665" s="239"/>
      <c r="J665" s="127" t="s">
        <v>114</v>
      </c>
      <c r="K665" s="128"/>
      <c r="L665" s="306"/>
      <c r="M665" s="129">
        <v>0</v>
      </c>
      <c r="N665" s="447">
        <f>(+$N651+$N657+$N663)*M665</f>
        <v>0</v>
      </c>
    </row>
    <row r="666" spans="2:21" ht="20.100000000000001" customHeight="1" thickBot="1">
      <c r="D666" s="180"/>
      <c r="E666" s="181"/>
      <c r="F666" s="181"/>
      <c r="G666" s="181"/>
      <c r="H666" s="181"/>
      <c r="I666" s="240"/>
      <c r="J666" s="537" t="s">
        <v>149</v>
      </c>
      <c r="K666" s="538"/>
      <c r="L666" s="538"/>
      <c r="M666" s="538"/>
      <c r="N666" s="308">
        <f>+$N651+$N657+$N663+N665</f>
        <v>0.69</v>
      </c>
    </row>
    <row r="667" spans="2:21" ht="20.100000000000001" customHeight="1" thickBot="1">
      <c r="D667" s="182"/>
      <c r="E667" s="183"/>
      <c r="F667" s="183"/>
      <c r="G667" s="183"/>
      <c r="H667" s="183"/>
      <c r="I667" s="241"/>
      <c r="J667" s="184" t="s">
        <v>158</v>
      </c>
      <c r="K667" s="185"/>
      <c r="L667" s="309"/>
      <c r="M667" s="186">
        <v>0</v>
      </c>
      <c r="N667" s="310">
        <f>(M667*N666)+N666</f>
        <v>0.69</v>
      </c>
      <c r="O667" s="210"/>
      <c r="P667" s="16">
        <v>48.42</v>
      </c>
      <c r="R667" s="90">
        <f>(N667/P667)-1</f>
        <v>-0.98574969021065673</v>
      </c>
    </row>
    <row r="670" spans="2:21" ht="20.100000000000001" customHeight="1" thickBot="1"/>
    <row r="671" spans="2:21" ht="20.100000000000001" customHeight="1">
      <c r="D671" s="598" t="s">
        <v>425</v>
      </c>
      <c r="E671" s="599"/>
      <c r="F671" s="524" t="s">
        <v>74</v>
      </c>
      <c r="G671" s="525"/>
      <c r="H671" s="525"/>
      <c r="I671" s="525"/>
      <c r="J671" s="525"/>
      <c r="K671" s="525"/>
      <c r="L671" s="526"/>
      <c r="M671" s="19" t="s">
        <v>75</v>
      </c>
      <c r="N671" s="20" t="s">
        <v>76</v>
      </c>
      <c r="U671" s="132">
        <f>N708</f>
        <v>33.56</v>
      </c>
    </row>
    <row r="672" spans="2:21" ht="20.100000000000001" customHeight="1">
      <c r="D672" s="600"/>
      <c r="E672" s="601"/>
      <c r="F672" s="512" t="s">
        <v>429</v>
      </c>
      <c r="G672" s="519"/>
      <c r="H672" s="519"/>
      <c r="I672" s="519"/>
      <c r="J672" s="519"/>
      <c r="K672" s="519"/>
      <c r="L672" s="513"/>
      <c r="M672" s="24" t="s">
        <v>428</v>
      </c>
      <c r="N672" s="25">
        <f>DATA</f>
        <v>41214</v>
      </c>
    </row>
    <row r="673" spans="2:14" ht="20.100000000000001" customHeight="1">
      <c r="D673" s="26" t="s">
        <v>77</v>
      </c>
      <c r="E673" s="27"/>
      <c r="F673" s="27"/>
      <c r="G673" s="27"/>
      <c r="H673" s="28"/>
      <c r="I673" s="214" t="s">
        <v>78</v>
      </c>
      <c r="J673" s="509" t="s">
        <v>79</v>
      </c>
      <c r="K673" s="511"/>
      <c r="L673" s="535" t="s">
        <v>80</v>
      </c>
      <c r="M673" s="536"/>
      <c r="N673" s="516" t="s">
        <v>81</v>
      </c>
    </row>
    <row r="674" spans="2:14" ht="20.100000000000001" customHeight="1">
      <c r="D674" s="31"/>
      <c r="E674" s="32"/>
      <c r="F674" s="32"/>
      <c r="G674" s="32"/>
      <c r="H674" s="33"/>
      <c r="I674" s="34"/>
      <c r="J674" s="51" t="s">
        <v>82</v>
      </c>
      <c r="K674" s="51" t="s">
        <v>83</v>
      </c>
      <c r="L674" s="51" t="s">
        <v>82</v>
      </c>
      <c r="M674" s="51" t="s">
        <v>84</v>
      </c>
      <c r="N674" s="517"/>
    </row>
    <row r="675" spans="2:14" ht="20.100000000000001" customHeight="1">
      <c r="B675" s="260" t="s">
        <v>547</v>
      </c>
      <c r="D675" s="264" t="str">
        <f t="shared" ref="D675:D681" si="58">IF(B675=0,0,VLOOKUP(B675,EQUIP,3,FALSE))</f>
        <v>CAMINHÃO MUNCK</v>
      </c>
      <c r="E675" s="265"/>
      <c r="F675" s="265"/>
      <c r="G675" s="265"/>
      <c r="H675" s="266"/>
      <c r="I675" s="318">
        <v>1</v>
      </c>
      <c r="J675" s="318">
        <v>1</v>
      </c>
      <c r="K675" s="318">
        <f>1-J675</f>
        <v>0</v>
      </c>
      <c r="L675" s="318">
        <f t="shared" ref="L675:L681" si="59">IF(B675=0,0,VLOOKUP(B675,EQUIP,6,FALSE))</f>
        <v>94.02</v>
      </c>
      <c r="M675" s="318">
        <f t="shared" ref="M675:M681" si="60">IF(B675=0,0,VLOOKUP(B675,EQUIP,7,FALSE))</f>
        <v>20.47</v>
      </c>
      <c r="N675" s="319">
        <f t="shared" ref="N675:N681" si="61">ROUND(I675*J675*L675+I675*K675*M675,2)</f>
        <v>94.02</v>
      </c>
    </row>
    <row r="676" spans="2:14" ht="20.100000000000001" customHeight="1">
      <c r="B676" s="260"/>
      <c r="D676" s="264">
        <f t="shared" si="58"/>
        <v>0</v>
      </c>
      <c r="E676" s="265"/>
      <c r="F676" s="265"/>
      <c r="G676" s="265"/>
      <c r="H676" s="266"/>
      <c r="I676" s="263"/>
      <c r="J676" s="263"/>
      <c r="K676" s="318"/>
      <c r="L676" s="318">
        <f t="shared" si="59"/>
        <v>0</v>
      </c>
      <c r="M676" s="318">
        <f t="shared" si="60"/>
        <v>0</v>
      </c>
      <c r="N676" s="319">
        <f t="shared" si="61"/>
        <v>0</v>
      </c>
    </row>
    <row r="677" spans="2:14" ht="20.100000000000001" customHeight="1">
      <c r="B677" s="260"/>
      <c r="D677" s="264">
        <f t="shared" si="58"/>
        <v>0</v>
      </c>
      <c r="E677" s="265"/>
      <c r="F677" s="265"/>
      <c r="G677" s="265"/>
      <c r="H677" s="266"/>
      <c r="I677" s="318"/>
      <c r="J677" s="318"/>
      <c r="K677" s="318"/>
      <c r="L677" s="318">
        <f t="shared" si="59"/>
        <v>0</v>
      </c>
      <c r="M677" s="318">
        <f t="shared" si="60"/>
        <v>0</v>
      </c>
      <c r="N677" s="319">
        <f t="shared" si="61"/>
        <v>0</v>
      </c>
    </row>
    <row r="678" spans="2:14" ht="20.100000000000001" customHeight="1">
      <c r="B678" s="260"/>
      <c r="D678" s="264">
        <f t="shared" si="58"/>
        <v>0</v>
      </c>
      <c r="E678" s="265"/>
      <c r="F678" s="265"/>
      <c r="G678" s="265"/>
      <c r="H678" s="266"/>
      <c r="I678" s="263"/>
      <c r="J678" s="263"/>
      <c r="K678" s="318"/>
      <c r="L678" s="318">
        <f t="shared" si="59"/>
        <v>0</v>
      </c>
      <c r="M678" s="318">
        <f t="shared" si="60"/>
        <v>0</v>
      </c>
      <c r="N678" s="319">
        <f t="shared" si="61"/>
        <v>0</v>
      </c>
    </row>
    <row r="679" spans="2:14" ht="20.100000000000001" customHeight="1">
      <c r="B679" s="260"/>
      <c r="D679" s="264">
        <f t="shared" si="58"/>
        <v>0</v>
      </c>
      <c r="E679" s="265"/>
      <c r="F679" s="265"/>
      <c r="G679" s="265"/>
      <c r="H679" s="266"/>
      <c r="I679" s="263"/>
      <c r="J679" s="263"/>
      <c r="K679" s="318"/>
      <c r="L679" s="318">
        <f t="shared" si="59"/>
        <v>0</v>
      </c>
      <c r="M679" s="318">
        <f t="shared" si="60"/>
        <v>0</v>
      </c>
      <c r="N679" s="319">
        <f t="shared" si="61"/>
        <v>0</v>
      </c>
    </row>
    <row r="680" spans="2:14" ht="20.100000000000001" customHeight="1">
      <c r="B680" s="260"/>
      <c r="D680" s="264">
        <f t="shared" si="58"/>
        <v>0</v>
      </c>
      <c r="E680" s="265"/>
      <c r="F680" s="265"/>
      <c r="G680" s="265"/>
      <c r="H680" s="266"/>
      <c r="I680" s="263"/>
      <c r="J680" s="318"/>
      <c r="K680" s="318"/>
      <c r="L680" s="318">
        <f t="shared" si="59"/>
        <v>0</v>
      </c>
      <c r="M680" s="318">
        <f t="shared" si="60"/>
        <v>0</v>
      </c>
      <c r="N680" s="319">
        <f t="shared" si="61"/>
        <v>0</v>
      </c>
    </row>
    <row r="681" spans="2:14" ht="20.100000000000001" customHeight="1">
      <c r="B681" s="260"/>
      <c r="D681" s="264">
        <f t="shared" si="58"/>
        <v>0</v>
      </c>
      <c r="E681" s="265"/>
      <c r="F681" s="265"/>
      <c r="G681" s="265"/>
      <c r="H681" s="266"/>
      <c r="I681" s="263"/>
      <c r="J681" s="318"/>
      <c r="K681" s="318"/>
      <c r="L681" s="318">
        <f t="shared" si="59"/>
        <v>0</v>
      </c>
      <c r="M681" s="318">
        <f t="shared" si="60"/>
        <v>0</v>
      </c>
      <c r="N681" s="319">
        <f t="shared" si="61"/>
        <v>0</v>
      </c>
    </row>
    <row r="682" spans="2:14" ht="20.100000000000001" customHeight="1">
      <c r="D682" s="155"/>
      <c r="E682" s="156"/>
      <c r="F682" s="156"/>
      <c r="G682" s="156"/>
      <c r="H682" s="156"/>
      <c r="I682" s="235"/>
      <c r="J682" s="157"/>
      <c r="K682" s="157"/>
      <c r="L682" s="216"/>
      <c r="M682" s="42" t="s">
        <v>89</v>
      </c>
      <c r="N682" s="270">
        <f>SUM(N675:N681)</f>
        <v>94.02</v>
      </c>
    </row>
    <row r="683" spans="2:14" ht="3.95" customHeight="1">
      <c r="D683" s="158"/>
      <c r="E683" s="159"/>
      <c r="F683" s="159"/>
      <c r="G683" s="160"/>
      <c r="H683" s="159"/>
      <c r="I683" s="236"/>
      <c r="J683" s="161"/>
      <c r="K683" s="162"/>
      <c r="L683" s="163"/>
      <c r="M683" s="163"/>
      <c r="N683" s="300"/>
    </row>
    <row r="684" spans="2:14" ht="20.100000000000001" customHeight="1">
      <c r="D684" s="518" t="s">
        <v>90</v>
      </c>
      <c r="E684" s="519"/>
      <c r="F684" s="519"/>
      <c r="G684" s="519"/>
      <c r="H684" s="519"/>
      <c r="I684" s="519"/>
      <c r="J684" s="513"/>
      <c r="K684" s="50" t="s">
        <v>91</v>
      </c>
      <c r="L684" s="51" t="s">
        <v>92</v>
      </c>
      <c r="M684" s="51" t="s">
        <v>93</v>
      </c>
      <c r="N684" s="272" t="s">
        <v>94</v>
      </c>
    </row>
    <row r="685" spans="2:14" ht="20.100000000000001" customHeight="1">
      <c r="B685" s="260" t="s">
        <v>430</v>
      </c>
      <c r="D685" s="264" t="str">
        <f>IF(B685=0,0,VLOOKUP(B685,MO,2,FALSE))</f>
        <v>PEDREIRO</v>
      </c>
      <c r="E685" s="53"/>
      <c r="F685" s="53"/>
      <c r="G685" s="53"/>
      <c r="H685" s="53"/>
      <c r="I685" s="36"/>
      <c r="J685" s="54"/>
      <c r="K685" s="152"/>
      <c r="L685" s="164">
        <v>0.5</v>
      </c>
      <c r="M685" s="263">
        <f>IF(B685=0,0,VLOOKUP(B685,MO,6,FALSE))</f>
        <v>12.6043</v>
      </c>
      <c r="N685" s="316">
        <f>ROUND(L685*M685,2)</f>
        <v>6.3</v>
      </c>
    </row>
    <row r="686" spans="2:14" ht="20.100000000000001" customHeight="1">
      <c r="B686" s="260" t="s">
        <v>248</v>
      </c>
      <c r="D686" s="264" t="str">
        <f>IF(B686=0,0,VLOOKUP(B686,MO,2,FALSE))</f>
        <v>SERVENTE</v>
      </c>
      <c r="E686" s="53"/>
      <c r="F686" s="53"/>
      <c r="G686" s="53"/>
      <c r="H686" s="53"/>
      <c r="I686" s="36"/>
      <c r="J686" s="54"/>
      <c r="K686" s="152"/>
      <c r="L686" s="164">
        <v>4</v>
      </c>
      <c r="M686" s="263">
        <f>IF(B686=0,0,VLOOKUP(B686,MO,6,FALSE))</f>
        <v>7.9973000000000001</v>
      </c>
      <c r="N686" s="316">
        <f>ROUND(L686*M686,2)</f>
        <v>31.99</v>
      </c>
    </row>
    <row r="687" spans="2:14" ht="20.100000000000001" customHeight="1">
      <c r="B687" s="260"/>
      <c r="D687" s="52" t="s">
        <v>122</v>
      </c>
      <c r="E687" s="53"/>
      <c r="F687" s="53"/>
      <c r="G687" s="53"/>
      <c r="H687" s="53"/>
      <c r="I687" s="36"/>
      <c r="J687" s="54"/>
      <c r="K687" s="165">
        <v>0.05</v>
      </c>
      <c r="L687" s="320">
        <f>N685+N686</f>
        <v>38.29</v>
      </c>
      <c r="M687" s="164"/>
      <c r="N687" s="316">
        <f>ROUND(L687*K687,2)</f>
        <v>1.91</v>
      </c>
    </row>
    <row r="688" spans="2:14" ht="20.100000000000001" customHeight="1">
      <c r="D688" s="167"/>
      <c r="E688" s="59"/>
      <c r="F688" s="168"/>
      <c r="G688" s="168"/>
      <c r="H688" s="159"/>
      <c r="I688" s="236"/>
      <c r="J688" s="169"/>
      <c r="K688" s="162"/>
      <c r="L688" s="163"/>
      <c r="M688" s="62" t="s">
        <v>98</v>
      </c>
      <c r="N688" s="302">
        <f>SUM(N685:N687)</f>
        <v>40.199999999999996</v>
      </c>
    </row>
    <row r="689" spans="2:14" ht="3.95" customHeight="1">
      <c r="D689" s="158"/>
      <c r="E689" s="159"/>
      <c r="F689" s="159"/>
      <c r="G689" s="159"/>
      <c r="H689" s="159"/>
      <c r="I689" s="236"/>
      <c r="J689" s="169"/>
      <c r="K689" s="162"/>
      <c r="L689" s="163"/>
      <c r="M689" s="163"/>
      <c r="N689" s="300"/>
    </row>
    <row r="690" spans="2:14" ht="20.100000000000001" customHeight="1">
      <c r="D690" s="170"/>
      <c r="E690" s="168"/>
      <c r="F690" s="168"/>
      <c r="G690" s="168"/>
      <c r="H690" s="171"/>
      <c r="I690" s="237"/>
      <c r="J690" s="171"/>
      <c r="K690" s="509" t="s">
        <v>99</v>
      </c>
      <c r="L690" s="510"/>
      <c r="M690" s="511"/>
      <c r="N690" s="303">
        <f>+N682+N688</f>
        <v>134.22</v>
      </c>
    </row>
    <row r="691" spans="2:14" ht="3.95" customHeight="1">
      <c r="D691" s="172"/>
      <c r="E691" s="159"/>
      <c r="F691" s="159"/>
      <c r="G691" s="160"/>
      <c r="H691" s="159"/>
      <c r="I691" s="236"/>
      <c r="J691" s="161"/>
      <c r="K691" s="162"/>
      <c r="L691" s="163"/>
      <c r="M691" s="163"/>
      <c r="N691" s="300"/>
    </row>
    <row r="692" spans="2:14" ht="20.100000000000001" customHeight="1">
      <c r="D692" s="167"/>
      <c r="E692" s="509" t="s">
        <v>100</v>
      </c>
      <c r="F692" s="510"/>
      <c r="G692" s="510"/>
      <c r="H692" s="511"/>
      <c r="I692" s="238">
        <v>4</v>
      </c>
      <c r="J692" s="163"/>
      <c r="K692" s="506" t="s">
        <v>101</v>
      </c>
      <c r="L692" s="507"/>
      <c r="M692" s="508"/>
      <c r="N692" s="304">
        <f>ROUND(N690/I692,2)</f>
        <v>33.56</v>
      </c>
    </row>
    <row r="693" spans="2:14" ht="3.95" customHeight="1">
      <c r="D693" s="158"/>
      <c r="E693" s="159"/>
      <c r="F693" s="159"/>
      <c r="G693" s="173"/>
      <c r="H693" s="159"/>
      <c r="I693" s="163"/>
      <c r="J693" s="161"/>
      <c r="K693" s="161"/>
      <c r="L693" s="163"/>
      <c r="M693" s="161"/>
      <c r="N693" s="305"/>
    </row>
    <row r="694" spans="2:14" ht="20.100000000000001" customHeight="1">
      <c r="D694" s="49" t="s">
        <v>102</v>
      </c>
      <c r="E694" s="22"/>
      <c r="F694" s="22"/>
      <c r="G694" s="22"/>
      <c r="H694" s="22"/>
      <c r="I694" s="141"/>
      <c r="J694" s="23"/>
      <c r="K694" s="50" t="s">
        <v>103</v>
      </c>
      <c r="L694" s="51" t="s">
        <v>80</v>
      </c>
      <c r="M694" s="51" t="s">
        <v>104</v>
      </c>
      <c r="N694" s="272" t="s">
        <v>105</v>
      </c>
    </row>
    <row r="695" spans="2:14" ht="20.100000000000001" customHeight="1">
      <c r="B695" s="260"/>
      <c r="D695" s="264">
        <f>IF(B695=0,0,VLOOKUP(B695,MAT,3,FALSE))</f>
        <v>0</v>
      </c>
      <c r="E695" s="53"/>
      <c r="F695" s="53"/>
      <c r="G695" s="53"/>
      <c r="H695" s="53"/>
      <c r="I695" s="36"/>
      <c r="J695" s="54"/>
      <c r="K695" s="262">
        <f>IF(B695=0,0,VLOOKUP(B695,MAT,5,FALSE))</f>
        <v>0</v>
      </c>
      <c r="L695" s="267">
        <f>IF(B695=0,0,VLOOKUP(B695,MAT,6,FALSE))</f>
        <v>0</v>
      </c>
      <c r="M695" s="174"/>
      <c r="N695" s="316">
        <f>ROUND(L695*M695,2)</f>
        <v>0</v>
      </c>
    </row>
    <row r="696" spans="2:14" ht="20.100000000000001" customHeight="1">
      <c r="B696" s="260"/>
      <c r="D696" s="264">
        <f>IF(B696=0,0,VLOOKUP(B696,MAT,3,FALSE))</f>
        <v>0</v>
      </c>
      <c r="E696" s="53"/>
      <c r="F696" s="53"/>
      <c r="G696" s="53"/>
      <c r="H696" s="53"/>
      <c r="I696" s="36"/>
      <c r="J696" s="54"/>
      <c r="K696" s="262">
        <f>IF(B696=0,0,VLOOKUP(B696,MAT,5,FALSE))</f>
        <v>0</v>
      </c>
      <c r="L696" s="267">
        <f>IF(B696=0,0,VLOOKUP(B696,MAT,6,FALSE))</f>
        <v>0</v>
      </c>
      <c r="M696" s="174"/>
      <c r="N696" s="316">
        <f>ROUND(L696*M696,2)</f>
        <v>0</v>
      </c>
    </row>
    <row r="697" spans="2:14" ht="20.100000000000001" customHeight="1">
      <c r="B697" s="260"/>
      <c r="D697" s="264">
        <f>IF(B697=0,0,VLOOKUP(B697,MAT,3,FALSE))</f>
        <v>0</v>
      </c>
      <c r="E697" s="53"/>
      <c r="F697" s="53"/>
      <c r="G697" s="53"/>
      <c r="H697" s="53"/>
      <c r="I697" s="36"/>
      <c r="J697" s="54"/>
      <c r="K697" s="262">
        <f>IF(B697=0,0,VLOOKUP(B697,MAT,5,FALSE))</f>
        <v>0</v>
      </c>
      <c r="L697" s="267">
        <f>IF(B697=0,0,VLOOKUP(B697,MAT,6,FALSE))</f>
        <v>0</v>
      </c>
      <c r="M697" s="174"/>
      <c r="N697" s="316">
        <f>ROUND(L697*M697,2)</f>
        <v>0</v>
      </c>
    </row>
    <row r="698" spans="2:14" ht="20.100000000000001" customHeight="1">
      <c r="D698" s="158"/>
      <c r="E698" s="159"/>
      <c r="F698" s="159"/>
      <c r="G698" s="173"/>
      <c r="H698" s="159"/>
      <c r="I698" s="163"/>
      <c r="J698" s="161"/>
      <c r="K698" s="161"/>
      <c r="L698" s="163"/>
      <c r="M698" s="71" t="s">
        <v>106</v>
      </c>
      <c r="N698" s="437">
        <f>SUM(N695:N697)</f>
        <v>0</v>
      </c>
    </row>
    <row r="699" spans="2:14" ht="20.100000000000001" customHeight="1">
      <c r="D699" s="158"/>
      <c r="E699" s="159"/>
      <c r="F699" s="159"/>
      <c r="G699" s="173"/>
      <c r="H699" s="159"/>
      <c r="I699" s="163"/>
      <c r="J699" s="161"/>
      <c r="K699" s="161"/>
      <c r="L699" s="163"/>
      <c r="M699" s="161"/>
      <c r="N699" s="305"/>
    </row>
    <row r="700" spans="2:14" ht="20.100000000000001" customHeight="1">
      <c r="D700" s="527" t="s">
        <v>107</v>
      </c>
      <c r="E700" s="72" t="s">
        <v>2</v>
      </c>
      <c r="F700" s="73"/>
      <c r="G700" s="73"/>
      <c r="H700" s="74"/>
      <c r="I700" s="498" t="s">
        <v>108</v>
      </c>
      <c r="J700" s="499"/>
      <c r="K700" s="531" t="s">
        <v>103</v>
      </c>
      <c r="L700" s="514" t="s">
        <v>80</v>
      </c>
      <c r="M700" s="531" t="s">
        <v>109</v>
      </c>
      <c r="N700" s="529" t="s">
        <v>105</v>
      </c>
    </row>
    <row r="701" spans="2:14" ht="20.100000000000001" customHeight="1">
      <c r="D701" s="528"/>
      <c r="E701" s="512" t="s">
        <v>110</v>
      </c>
      <c r="F701" s="513"/>
      <c r="G701" s="512" t="s">
        <v>111</v>
      </c>
      <c r="H701" s="513"/>
      <c r="I701" s="500"/>
      <c r="J701" s="501"/>
      <c r="K701" s="532"/>
      <c r="L701" s="515"/>
      <c r="M701" s="532"/>
      <c r="N701" s="530"/>
    </row>
    <row r="702" spans="2:14" ht="20.100000000000001" customHeight="1">
      <c r="B702" s="260"/>
      <c r="D702" s="261">
        <f>IF(B702=0,0,VLOOKUP(B702,TRANS,3,FALSE))</f>
        <v>0</v>
      </c>
      <c r="E702" s="581">
        <f>IF(B702=0,0,VLOOKUP(B702,TRANS,5,FALSE))</f>
        <v>0</v>
      </c>
      <c r="F702" s="582"/>
      <c r="G702" s="502"/>
      <c r="H702" s="503"/>
      <c r="I702" s="533"/>
      <c r="J702" s="534">
        <v>50</v>
      </c>
      <c r="K702" s="262">
        <f>IF(B702=0,0,VLOOKUP(B702,TRANS,4,FALSE))</f>
        <v>0</v>
      </c>
      <c r="L702" s="387">
        <f>E702*I702</f>
        <v>0</v>
      </c>
      <c r="M702" s="70"/>
      <c r="N702" s="317">
        <f>ROUND(L702*M702,2)</f>
        <v>0</v>
      </c>
    </row>
    <row r="703" spans="2:14" ht="20.100000000000001" customHeight="1">
      <c r="B703" s="260"/>
      <c r="D703" s="261"/>
      <c r="E703" s="504"/>
      <c r="F703" s="505"/>
      <c r="G703" s="502"/>
      <c r="H703" s="503"/>
      <c r="I703" s="533"/>
      <c r="J703" s="534"/>
      <c r="K703" s="66"/>
      <c r="L703" s="67"/>
      <c r="M703" s="70"/>
      <c r="N703" s="278"/>
    </row>
    <row r="704" spans="2:14" ht="20.100000000000001" customHeight="1">
      <c r="D704" s="175"/>
      <c r="E704" s="176"/>
      <c r="F704" s="159"/>
      <c r="G704" s="173"/>
      <c r="H704" s="159"/>
      <c r="I704" s="163"/>
      <c r="J704" s="161"/>
      <c r="K704" s="161"/>
      <c r="L704" s="163"/>
      <c r="M704" s="71" t="s">
        <v>112</v>
      </c>
      <c r="N704" s="437">
        <f>SUM(N702:N703)</f>
        <v>0</v>
      </c>
    </row>
    <row r="705" spans="2:21" ht="3.95" customHeight="1" thickBot="1">
      <c r="D705" s="175"/>
      <c r="E705" s="159"/>
      <c r="F705" s="173"/>
      <c r="G705" s="159"/>
      <c r="H705" s="161"/>
      <c r="I705" s="163"/>
      <c r="J705" s="161"/>
      <c r="K705" s="161"/>
      <c r="L705" s="163"/>
      <c r="M705" s="161"/>
      <c r="N705" s="305"/>
    </row>
    <row r="706" spans="2:21" ht="20.100000000000001" customHeight="1">
      <c r="D706" s="177"/>
      <c r="E706" s="178"/>
      <c r="F706" s="178"/>
      <c r="G706" s="178"/>
      <c r="H706" s="179"/>
      <c r="I706" s="239"/>
      <c r="J706" s="127" t="s">
        <v>114</v>
      </c>
      <c r="K706" s="128"/>
      <c r="L706" s="306"/>
      <c r="M706" s="129">
        <v>0</v>
      </c>
      <c r="N706" s="447">
        <f>(+$N692+$N698+$N704)*M706</f>
        <v>0</v>
      </c>
    </row>
    <row r="707" spans="2:21" ht="20.100000000000001" customHeight="1" thickBot="1">
      <c r="D707" s="180"/>
      <c r="E707" s="181"/>
      <c r="F707" s="181"/>
      <c r="G707" s="181"/>
      <c r="H707" s="181"/>
      <c r="I707" s="240"/>
      <c r="J707" s="537" t="s">
        <v>149</v>
      </c>
      <c r="K707" s="538"/>
      <c r="L707" s="538"/>
      <c r="M707" s="538"/>
      <c r="N707" s="308">
        <f>+$N692+$N698+$N704+N706</f>
        <v>33.56</v>
      </c>
    </row>
    <row r="708" spans="2:21" ht="20.100000000000001" customHeight="1" thickBot="1">
      <c r="D708" s="182"/>
      <c r="E708" s="183"/>
      <c r="F708" s="183"/>
      <c r="G708" s="183"/>
      <c r="H708" s="183"/>
      <c r="I708" s="241"/>
      <c r="J708" s="184" t="s">
        <v>158</v>
      </c>
      <c r="K708" s="185"/>
      <c r="L708" s="309"/>
      <c r="M708" s="186">
        <v>0</v>
      </c>
      <c r="N708" s="310">
        <f>(M708*N707)+N707</f>
        <v>33.56</v>
      </c>
      <c r="O708" s="210"/>
      <c r="P708" s="16">
        <v>48.42</v>
      </c>
      <c r="R708" s="90">
        <f>(N708/P708)-1</f>
        <v>-0.30689797604295743</v>
      </c>
    </row>
    <row r="711" spans="2:21" ht="20.100000000000001" customHeight="1" thickBot="1"/>
    <row r="712" spans="2:21" ht="20.100000000000001" customHeight="1">
      <c r="D712" s="598" t="s">
        <v>426</v>
      </c>
      <c r="E712" s="599"/>
      <c r="F712" s="524" t="s">
        <v>74</v>
      </c>
      <c r="G712" s="525"/>
      <c r="H712" s="525"/>
      <c r="I712" s="525"/>
      <c r="J712" s="525"/>
      <c r="K712" s="525"/>
      <c r="L712" s="526"/>
      <c r="M712" s="19" t="s">
        <v>75</v>
      </c>
      <c r="N712" s="20" t="s">
        <v>76</v>
      </c>
      <c r="U712" s="132">
        <f>N750</f>
        <v>142.94</v>
      </c>
    </row>
    <row r="713" spans="2:21" ht="20.100000000000001" customHeight="1">
      <c r="D713" s="600"/>
      <c r="E713" s="601"/>
      <c r="F713" s="512" t="s">
        <v>436</v>
      </c>
      <c r="G713" s="519"/>
      <c r="H713" s="519"/>
      <c r="I713" s="519"/>
      <c r="J713" s="519"/>
      <c r="K713" s="519"/>
      <c r="L713" s="513"/>
      <c r="M713" s="24" t="s">
        <v>428</v>
      </c>
      <c r="N713" s="25">
        <f>DATA</f>
        <v>41214</v>
      </c>
    </row>
    <row r="714" spans="2:21" ht="20.100000000000001" customHeight="1">
      <c r="D714" s="26" t="s">
        <v>77</v>
      </c>
      <c r="E714" s="27"/>
      <c r="F714" s="27"/>
      <c r="G714" s="27"/>
      <c r="H714" s="28"/>
      <c r="I714" s="214" t="s">
        <v>78</v>
      </c>
      <c r="J714" s="509" t="s">
        <v>79</v>
      </c>
      <c r="K714" s="511"/>
      <c r="L714" s="535" t="s">
        <v>80</v>
      </c>
      <c r="M714" s="536"/>
      <c r="N714" s="516" t="s">
        <v>81</v>
      </c>
    </row>
    <row r="715" spans="2:21" ht="20.100000000000001" customHeight="1">
      <c r="D715" s="31"/>
      <c r="E715" s="32"/>
      <c r="F715" s="32"/>
      <c r="G715" s="32"/>
      <c r="H715" s="33"/>
      <c r="I715" s="34"/>
      <c r="J715" s="51" t="s">
        <v>82</v>
      </c>
      <c r="K715" s="51" t="s">
        <v>83</v>
      </c>
      <c r="L715" s="51" t="s">
        <v>82</v>
      </c>
      <c r="M715" s="51" t="s">
        <v>84</v>
      </c>
      <c r="N715" s="517"/>
    </row>
    <row r="716" spans="2:21" ht="20.100000000000001" customHeight="1">
      <c r="B716" s="260" t="s">
        <v>272</v>
      </c>
      <c r="D716" s="264" t="str">
        <f t="shared" ref="D716:D722" si="62">IF(B716=0,0,VLOOKUP(B716,EQUIP,3,FALSE))</f>
        <v>COMPRESSOR DE AR (59KW)</v>
      </c>
      <c r="E716" s="265"/>
      <c r="F716" s="265"/>
      <c r="G716" s="265"/>
      <c r="H716" s="266"/>
      <c r="I716" s="318">
        <v>1</v>
      </c>
      <c r="J716" s="318">
        <v>1</v>
      </c>
      <c r="K716" s="318">
        <f>1-J716</f>
        <v>0</v>
      </c>
      <c r="L716" s="318">
        <f t="shared" ref="L716:L722" si="63">IF(B716=0,0,VLOOKUP(B716,EQUIP,6,FALSE))</f>
        <v>50.66</v>
      </c>
      <c r="M716" s="318">
        <f t="shared" ref="M716:M722" si="64">IF(B716=0,0,VLOOKUP(B716,EQUIP,7,FALSE))</f>
        <v>17.27</v>
      </c>
      <c r="N716" s="319">
        <f t="shared" ref="N716:N722" si="65">ROUND(I716*J716*L716+I716*K716*M716,2)</f>
        <v>50.66</v>
      </c>
    </row>
    <row r="717" spans="2:21" ht="20.100000000000001" customHeight="1">
      <c r="B717" s="260" t="s">
        <v>438</v>
      </c>
      <c r="D717" s="264" t="str">
        <f t="shared" si="62"/>
        <v>MARTELETE - ROMPEDOR 33KG</v>
      </c>
      <c r="E717" s="265"/>
      <c r="F717" s="265"/>
      <c r="G717" s="265"/>
      <c r="H717" s="266"/>
      <c r="I717" s="263">
        <v>1</v>
      </c>
      <c r="J717" s="263">
        <v>1</v>
      </c>
      <c r="K717" s="318">
        <f>1-J717</f>
        <v>0</v>
      </c>
      <c r="L717" s="318">
        <f t="shared" si="63"/>
        <v>16.079999999999998</v>
      </c>
      <c r="M717" s="318">
        <f t="shared" si="64"/>
        <v>15.35</v>
      </c>
      <c r="N717" s="319">
        <f t="shared" si="65"/>
        <v>16.079999999999998</v>
      </c>
    </row>
    <row r="718" spans="2:21" ht="20.100000000000001" customHeight="1">
      <c r="B718" s="260" t="s">
        <v>259</v>
      </c>
      <c r="D718" s="264" t="str">
        <f t="shared" si="62"/>
        <v>CAMINHÃO  CARROCERIA 4T (80 KW)</v>
      </c>
      <c r="E718" s="265"/>
      <c r="F718" s="265"/>
      <c r="G718" s="265"/>
      <c r="H718" s="266"/>
      <c r="I718" s="318">
        <v>1</v>
      </c>
      <c r="J718" s="318">
        <v>0.6</v>
      </c>
      <c r="K718" s="318">
        <f>1-J718</f>
        <v>0.4</v>
      </c>
      <c r="L718" s="318">
        <f t="shared" si="63"/>
        <v>101.47</v>
      </c>
      <c r="M718" s="318">
        <f t="shared" si="64"/>
        <v>20.47</v>
      </c>
      <c r="N718" s="319">
        <f t="shared" si="65"/>
        <v>69.069999999999993</v>
      </c>
    </row>
    <row r="719" spans="2:21" ht="20.100000000000001" customHeight="1">
      <c r="B719" s="260"/>
      <c r="D719" s="264">
        <f t="shared" si="62"/>
        <v>0</v>
      </c>
      <c r="E719" s="265"/>
      <c r="F719" s="265"/>
      <c r="G719" s="265"/>
      <c r="H719" s="266"/>
      <c r="I719" s="263"/>
      <c r="J719" s="263"/>
      <c r="K719" s="318"/>
      <c r="L719" s="318">
        <f t="shared" si="63"/>
        <v>0</v>
      </c>
      <c r="M719" s="318">
        <f t="shared" si="64"/>
        <v>0</v>
      </c>
      <c r="N719" s="319">
        <f t="shared" si="65"/>
        <v>0</v>
      </c>
    </row>
    <row r="720" spans="2:21" ht="20.100000000000001" customHeight="1">
      <c r="B720" s="260"/>
      <c r="D720" s="264">
        <f t="shared" si="62"/>
        <v>0</v>
      </c>
      <c r="E720" s="265"/>
      <c r="F720" s="265"/>
      <c r="G720" s="265"/>
      <c r="H720" s="266"/>
      <c r="I720" s="263"/>
      <c r="J720" s="263"/>
      <c r="K720" s="318"/>
      <c r="L720" s="318">
        <f t="shared" si="63"/>
        <v>0</v>
      </c>
      <c r="M720" s="318">
        <f t="shared" si="64"/>
        <v>0</v>
      </c>
      <c r="N720" s="319">
        <f t="shared" si="65"/>
        <v>0</v>
      </c>
    </row>
    <row r="721" spans="2:14" ht="20.100000000000001" customHeight="1">
      <c r="B721" s="260"/>
      <c r="D721" s="264">
        <f t="shared" si="62"/>
        <v>0</v>
      </c>
      <c r="E721" s="265"/>
      <c r="F721" s="265"/>
      <c r="G721" s="265"/>
      <c r="H721" s="266"/>
      <c r="I721" s="263"/>
      <c r="J721" s="318"/>
      <c r="K721" s="318"/>
      <c r="L721" s="318">
        <f t="shared" si="63"/>
        <v>0</v>
      </c>
      <c r="M721" s="318">
        <f t="shared" si="64"/>
        <v>0</v>
      </c>
      <c r="N721" s="319">
        <f t="shared" si="65"/>
        <v>0</v>
      </c>
    </row>
    <row r="722" spans="2:14" ht="20.100000000000001" customHeight="1">
      <c r="B722" s="260"/>
      <c r="D722" s="264">
        <f t="shared" si="62"/>
        <v>0</v>
      </c>
      <c r="E722" s="265"/>
      <c r="F722" s="265"/>
      <c r="G722" s="265"/>
      <c r="H722" s="266"/>
      <c r="I722" s="263"/>
      <c r="J722" s="318"/>
      <c r="K722" s="318"/>
      <c r="L722" s="318">
        <f t="shared" si="63"/>
        <v>0</v>
      </c>
      <c r="M722" s="318">
        <f t="shared" si="64"/>
        <v>0</v>
      </c>
      <c r="N722" s="319">
        <f t="shared" si="65"/>
        <v>0</v>
      </c>
    </row>
    <row r="723" spans="2:14" ht="20.100000000000001" customHeight="1">
      <c r="D723" s="155"/>
      <c r="E723" s="156"/>
      <c r="F723" s="156"/>
      <c r="G723" s="156"/>
      <c r="H723" s="156"/>
      <c r="I723" s="235"/>
      <c r="J723" s="157"/>
      <c r="K723" s="157"/>
      <c r="L723" s="216"/>
      <c r="M723" s="42" t="s">
        <v>89</v>
      </c>
      <c r="N723" s="270">
        <f>SUM(N716:N722)</f>
        <v>135.81</v>
      </c>
    </row>
    <row r="724" spans="2:14" ht="3.95" customHeight="1">
      <c r="D724" s="158"/>
      <c r="E724" s="159"/>
      <c r="F724" s="159"/>
      <c r="G724" s="160"/>
      <c r="H724" s="159"/>
      <c r="I724" s="236"/>
      <c r="J724" s="161"/>
      <c r="K724" s="162"/>
      <c r="L724" s="163"/>
      <c r="M724" s="163"/>
      <c r="N724" s="300"/>
    </row>
    <row r="725" spans="2:14" ht="20.100000000000001" customHeight="1">
      <c r="D725" s="518" t="s">
        <v>90</v>
      </c>
      <c r="E725" s="519"/>
      <c r="F725" s="519"/>
      <c r="G725" s="519"/>
      <c r="H725" s="519"/>
      <c r="I725" s="519"/>
      <c r="J725" s="513"/>
      <c r="K725" s="50" t="s">
        <v>91</v>
      </c>
      <c r="L725" s="51" t="s">
        <v>92</v>
      </c>
      <c r="M725" s="51" t="s">
        <v>93</v>
      </c>
      <c r="N725" s="272" t="s">
        <v>94</v>
      </c>
    </row>
    <row r="726" spans="2:14" ht="20.100000000000001" customHeight="1">
      <c r="B726" s="260" t="s">
        <v>247</v>
      </c>
      <c r="D726" s="264" t="str">
        <f>IF(B726=0,0,VLOOKUP(B726,MO,2,FALSE))</f>
        <v>ENCARREGADO DE TURMA</v>
      </c>
      <c r="E726" s="53"/>
      <c r="F726" s="53"/>
      <c r="G726" s="53"/>
      <c r="H726" s="53"/>
      <c r="I726" s="36"/>
      <c r="J726" s="54"/>
      <c r="K726" s="152"/>
      <c r="L726" s="164">
        <v>1</v>
      </c>
      <c r="M726" s="263">
        <f>IF(B726=0,0,VLOOKUP(B726,MO,6,FALSE))</f>
        <v>27</v>
      </c>
      <c r="N726" s="316">
        <f>ROUND(L726*M726,2)</f>
        <v>27</v>
      </c>
    </row>
    <row r="727" spans="2:14" ht="20.100000000000001" customHeight="1">
      <c r="B727" s="260" t="s">
        <v>441</v>
      </c>
      <c r="D727" s="264" t="str">
        <f>IF(B727=0,0,VLOOKUP(B727,MO,2,FALSE))</f>
        <v>MONTADOR</v>
      </c>
      <c r="E727" s="53"/>
      <c r="F727" s="53"/>
      <c r="G727" s="53"/>
      <c r="H727" s="53"/>
      <c r="I727" s="36"/>
      <c r="J727" s="54"/>
      <c r="K727" s="152"/>
      <c r="L727" s="164">
        <v>2</v>
      </c>
      <c r="M727" s="263">
        <f>IF(B727=0,0,VLOOKUP(B727,MO,6,FALSE))</f>
        <v>12.6043</v>
      </c>
      <c r="N727" s="316">
        <f>ROUND(L727*M727,2)</f>
        <v>25.21</v>
      </c>
    </row>
    <row r="728" spans="2:14" ht="20.100000000000001" customHeight="1">
      <c r="B728" s="260" t="s">
        <v>248</v>
      </c>
      <c r="D728" s="264" t="str">
        <f>IF(B728=0,0,VLOOKUP(B728,MO,2,FALSE))</f>
        <v>SERVENTE</v>
      </c>
      <c r="E728" s="53"/>
      <c r="F728" s="53"/>
      <c r="G728" s="53"/>
      <c r="H728" s="53"/>
      <c r="I728" s="36"/>
      <c r="J728" s="54"/>
      <c r="K728" s="152"/>
      <c r="L728" s="164">
        <v>4</v>
      </c>
      <c r="M728" s="263">
        <f>IF(B728=0,0,VLOOKUP(B728,MO,6,FALSE))</f>
        <v>7.9973000000000001</v>
      </c>
      <c r="N728" s="316">
        <f>ROUND(L728*M728,2)</f>
        <v>31.99</v>
      </c>
    </row>
    <row r="729" spans="2:14" ht="20.100000000000001" customHeight="1">
      <c r="B729" s="260"/>
      <c r="D729" s="52" t="s">
        <v>122</v>
      </c>
      <c r="E729" s="53"/>
      <c r="F729" s="53"/>
      <c r="G729" s="53"/>
      <c r="H729" s="53"/>
      <c r="I729" s="36"/>
      <c r="J729" s="54"/>
      <c r="K729" s="165">
        <v>0.05</v>
      </c>
      <c r="L729" s="320">
        <f>N726+N727</f>
        <v>52.21</v>
      </c>
      <c r="M729" s="164"/>
      <c r="N729" s="316">
        <f>ROUND(L729*K729,2)</f>
        <v>2.61</v>
      </c>
    </row>
    <row r="730" spans="2:14" ht="20.100000000000001" customHeight="1">
      <c r="D730" s="167"/>
      <c r="E730" s="59"/>
      <c r="F730" s="168"/>
      <c r="G730" s="168"/>
      <c r="H730" s="159"/>
      <c r="I730" s="236"/>
      <c r="J730" s="169"/>
      <c r="K730" s="162"/>
      <c r="L730" s="163"/>
      <c r="M730" s="62" t="s">
        <v>98</v>
      </c>
      <c r="N730" s="302">
        <f>SUM(N726:N729)</f>
        <v>86.81</v>
      </c>
    </row>
    <row r="731" spans="2:14" ht="3.95" customHeight="1">
      <c r="D731" s="158"/>
      <c r="E731" s="159"/>
      <c r="F731" s="159"/>
      <c r="G731" s="159"/>
      <c r="H731" s="159"/>
      <c r="I731" s="236"/>
      <c r="J731" s="169"/>
      <c r="K731" s="162"/>
      <c r="L731" s="163"/>
      <c r="M731" s="163"/>
      <c r="N731" s="300"/>
    </row>
    <row r="732" spans="2:14" ht="20.100000000000001" customHeight="1">
      <c r="D732" s="170"/>
      <c r="E732" s="168"/>
      <c r="F732" s="168"/>
      <c r="G732" s="168"/>
      <c r="H732" s="171"/>
      <c r="I732" s="237"/>
      <c r="J732" s="171"/>
      <c r="K732" s="509" t="s">
        <v>99</v>
      </c>
      <c r="L732" s="510"/>
      <c r="M732" s="511"/>
      <c r="N732" s="303">
        <f>+N723+N730</f>
        <v>222.62</v>
      </c>
    </row>
    <row r="733" spans="2:14" ht="3.95" customHeight="1">
      <c r="D733" s="172"/>
      <c r="E733" s="159"/>
      <c r="F733" s="159"/>
      <c r="G733" s="160"/>
      <c r="H733" s="159"/>
      <c r="I733" s="236"/>
      <c r="J733" s="161"/>
      <c r="K733" s="162"/>
      <c r="L733" s="163"/>
      <c r="M733" s="163"/>
      <c r="N733" s="300"/>
    </row>
    <row r="734" spans="2:14" ht="20.100000000000001" customHeight="1">
      <c r="D734" s="167"/>
      <c r="E734" s="509" t="s">
        <v>100</v>
      </c>
      <c r="F734" s="510"/>
      <c r="G734" s="510"/>
      <c r="H734" s="511"/>
      <c r="I734" s="238">
        <v>15</v>
      </c>
      <c r="J734" s="163"/>
      <c r="K734" s="506" t="s">
        <v>101</v>
      </c>
      <c r="L734" s="507"/>
      <c r="M734" s="508"/>
      <c r="N734" s="304">
        <f>ROUND(N732/I734,2)</f>
        <v>14.84</v>
      </c>
    </row>
    <row r="735" spans="2:14" ht="3.95" customHeight="1">
      <c r="D735" s="158"/>
      <c r="E735" s="159"/>
      <c r="F735" s="159"/>
      <c r="G735" s="173"/>
      <c r="H735" s="159"/>
      <c r="I735" s="163"/>
      <c r="J735" s="161"/>
      <c r="K735" s="161"/>
      <c r="L735" s="163"/>
      <c r="M735" s="161"/>
      <c r="N735" s="305"/>
    </row>
    <row r="736" spans="2:14" ht="20.100000000000001" customHeight="1">
      <c r="D736" s="49" t="s">
        <v>102</v>
      </c>
      <c r="E736" s="22"/>
      <c r="F736" s="22"/>
      <c r="G736" s="22"/>
      <c r="H736" s="22"/>
      <c r="I736" s="141"/>
      <c r="J736" s="23"/>
      <c r="K736" s="50" t="s">
        <v>103</v>
      </c>
      <c r="L736" s="51" t="s">
        <v>80</v>
      </c>
      <c r="M736" s="51" t="s">
        <v>104</v>
      </c>
      <c r="N736" s="272" t="s">
        <v>105</v>
      </c>
    </row>
    <row r="737" spans="2:18" ht="20.100000000000001" customHeight="1">
      <c r="B737" s="260" t="s">
        <v>443</v>
      </c>
      <c r="D737" s="264" t="str">
        <f>IF(B737=0,0,VLOOKUP(B737,MAT,3,FALSE))</f>
        <v>DEFENSA SEMI-MALEÁVEL SIMPLES</v>
      </c>
      <c r="E737" s="53"/>
      <c r="F737" s="53"/>
      <c r="G737" s="53"/>
      <c r="H737" s="53"/>
      <c r="I737" s="36"/>
      <c r="J737" s="54"/>
      <c r="K737" s="262" t="str">
        <f>IF(B737=0,0,VLOOKUP(B737,MAT,5,FALSE))</f>
        <v>M</v>
      </c>
      <c r="L737" s="267">
        <f>IF(B737=0,0,VLOOKUP(B737,MAT,6,FALSE))</f>
        <v>160.12</v>
      </c>
      <c r="M737" s="174">
        <v>0.8</v>
      </c>
      <c r="N737" s="316">
        <f>ROUND(L737*M737,2)</f>
        <v>128.1</v>
      </c>
    </row>
    <row r="738" spans="2:18" ht="20.100000000000001" customHeight="1">
      <c r="B738" s="260"/>
      <c r="D738" s="264">
        <f>IF(B738=0,0,VLOOKUP(B738,MAT,3,FALSE))</f>
        <v>0</v>
      </c>
      <c r="E738" s="53"/>
      <c r="F738" s="53"/>
      <c r="G738" s="53"/>
      <c r="H738" s="53"/>
      <c r="I738" s="36"/>
      <c r="J738" s="54"/>
      <c r="K738" s="262">
        <f>IF(B738=0,0,VLOOKUP(B738,MAT,5,FALSE))</f>
        <v>0</v>
      </c>
      <c r="L738" s="267">
        <f>IF(B738=0,0,VLOOKUP(B738,MAT,6,FALSE))</f>
        <v>0</v>
      </c>
      <c r="M738" s="174"/>
      <c r="N738" s="316">
        <f>ROUND(L738*M738,2)</f>
        <v>0</v>
      </c>
    </row>
    <row r="739" spans="2:18" ht="20.100000000000001" customHeight="1">
      <c r="B739" s="260"/>
      <c r="D739" s="264">
        <f>IF(B739=0,0,VLOOKUP(B739,MAT,3,FALSE))</f>
        <v>0</v>
      </c>
      <c r="E739" s="53"/>
      <c r="F739" s="53"/>
      <c r="G739" s="53"/>
      <c r="H739" s="53"/>
      <c r="I739" s="36"/>
      <c r="J739" s="54"/>
      <c r="K739" s="262">
        <f>IF(B739=0,0,VLOOKUP(B739,MAT,5,FALSE))</f>
        <v>0</v>
      </c>
      <c r="L739" s="267">
        <f>IF(B739=0,0,VLOOKUP(B739,MAT,6,FALSE))</f>
        <v>0</v>
      </c>
      <c r="M739" s="174"/>
      <c r="N739" s="316">
        <f>ROUND(L739*M739,2)</f>
        <v>0</v>
      </c>
    </row>
    <row r="740" spans="2:18" ht="20.100000000000001" customHeight="1">
      <c r="D740" s="158"/>
      <c r="E740" s="159"/>
      <c r="F740" s="159"/>
      <c r="G740" s="173"/>
      <c r="H740" s="159"/>
      <c r="I740" s="163"/>
      <c r="J740" s="161"/>
      <c r="K740" s="161"/>
      <c r="L740" s="163"/>
      <c r="M740" s="71" t="s">
        <v>106</v>
      </c>
      <c r="N740" s="302">
        <f>SUM(N737:N739)</f>
        <v>128.1</v>
      </c>
    </row>
    <row r="741" spans="2:18" ht="20.100000000000001" customHeight="1">
      <c r="D741" s="158"/>
      <c r="E741" s="159"/>
      <c r="F741" s="159"/>
      <c r="G741" s="173"/>
      <c r="H741" s="159"/>
      <c r="I741" s="163"/>
      <c r="J741" s="161"/>
      <c r="K741" s="161"/>
      <c r="L741" s="163"/>
      <c r="M741" s="161"/>
      <c r="N741" s="305"/>
    </row>
    <row r="742" spans="2:18" ht="20.100000000000001" customHeight="1">
      <c r="D742" s="527" t="s">
        <v>107</v>
      </c>
      <c r="E742" s="72" t="s">
        <v>2</v>
      </c>
      <c r="F742" s="73"/>
      <c r="G742" s="73"/>
      <c r="H742" s="74"/>
      <c r="I742" s="498" t="s">
        <v>108</v>
      </c>
      <c r="J742" s="499"/>
      <c r="K742" s="531" t="s">
        <v>103</v>
      </c>
      <c r="L742" s="514" t="s">
        <v>80</v>
      </c>
      <c r="M742" s="531" t="s">
        <v>109</v>
      </c>
      <c r="N742" s="529" t="s">
        <v>105</v>
      </c>
    </row>
    <row r="743" spans="2:18" ht="20.100000000000001" customHeight="1">
      <c r="D743" s="528"/>
      <c r="E743" s="512" t="s">
        <v>110</v>
      </c>
      <c r="F743" s="513"/>
      <c r="G743" s="512" t="s">
        <v>111</v>
      </c>
      <c r="H743" s="513"/>
      <c r="I743" s="500"/>
      <c r="J743" s="501"/>
      <c r="K743" s="532"/>
      <c r="L743" s="515"/>
      <c r="M743" s="532"/>
      <c r="N743" s="530"/>
    </row>
    <row r="744" spans="2:18" ht="20.100000000000001" customHeight="1">
      <c r="B744" s="260"/>
      <c r="D744" s="261">
        <f>IF(B744=0,0,VLOOKUP(B744,TRANS,3,FALSE))</f>
        <v>0</v>
      </c>
      <c r="E744" s="581">
        <f>IF(B744=0,0,VLOOKUP(B744,TRANS,5,FALSE))</f>
        <v>0</v>
      </c>
      <c r="F744" s="582"/>
      <c r="G744" s="502"/>
      <c r="H744" s="503"/>
      <c r="I744" s="533"/>
      <c r="J744" s="534">
        <v>50</v>
      </c>
      <c r="K744" s="262">
        <f>IF(B744=0,0,VLOOKUP(B744,TRANS,4,FALSE))</f>
        <v>0</v>
      </c>
      <c r="L744" s="387">
        <f>E744*I744</f>
        <v>0</v>
      </c>
      <c r="M744" s="70"/>
      <c r="N744" s="317">
        <f>ROUND(L744*M744,2)</f>
        <v>0</v>
      </c>
    </row>
    <row r="745" spans="2:18" ht="20.100000000000001" customHeight="1">
      <c r="B745" s="260"/>
      <c r="D745" s="261"/>
      <c r="E745" s="504"/>
      <c r="F745" s="505"/>
      <c r="G745" s="502"/>
      <c r="H745" s="503"/>
      <c r="I745" s="533"/>
      <c r="J745" s="534"/>
      <c r="K745" s="66"/>
      <c r="L745" s="67"/>
      <c r="M745" s="70"/>
      <c r="N745" s="278"/>
    </row>
    <row r="746" spans="2:18" ht="20.100000000000001" customHeight="1">
      <c r="D746" s="175"/>
      <c r="E746" s="176"/>
      <c r="F746" s="159"/>
      <c r="G746" s="173"/>
      <c r="H746" s="159"/>
      <c r="I746" s="163"/>
      <c r="J746" s="161"/>
      <c r="K746" s="161"/>
      <c r="L746" s="163"/>
      <c r="M746" s="71" t="s">
        <v>112</v>
      </c>
      <c r="N746" s="437">
        <f>SUM(N744:N745)</f>
        <v>0</v>
      </c>
    </row>
    <row r="747" spans="2:18" ht="3.95" customHeight="1" thickBot="1">
      <c r="D747" s="175"/>
      <c r="E747" s="159"/>
      <c r="F747" s="173"/>
      <c r="G747" s="159"/>
      <c r="H747" s="161"/>
      <c r="I747" s="163"/>
      <c r="J747" s="161"/>
      <c r="K747" s="161"/>
      <c r="L747" s="163"/>
      <c r="M747" s="161"/>
      <c r="N747" s="305"/>
    </row>
    <row r="748" spans="2:18" ht="20.100000000000001" customHeight="1">
      <c r="D748" s="177"/>
      <c r="E748" s="178"/>
      <c r="F748" s="178"/>
      <c r="G748" s="178"/>
      <c r="H748" s="179"/>
      <c r="I748" s="239"/>
      <c r="J748" s="127" t="s">
        <v>114</v>
      </c>
      <c r="K748" s="128"/>
      <c r="L748" s="306"/>
      <c r="M748" s="129">
        <v>0</v>
      </c>
      <c r="N748" s="447">
        <f>(+$N734+$N740+$N746)*M748</f>
        <v>0</v>
      </c>
    </row>
    <row r="749" spans="2:18" ht="20.100000000000001" customHeight="1" thickBot="1">
      <c r="D749" s="180"/>
      <c r="E749" s="181"/>
      <c r="F749" s="181"/>
      <c r="G749" s="181"/>
      <c r="H749" s="181"/>
      <c r="I749" s="240"/>
      <c r="J749" s="537" t="s">
        <v>149</v>
      </c>
      <c r="K749" s="538"/>
      <c r="L749" s="538"/>
      <c r="M749" s="538"/>
      <c r="N749" s="308">
        <f>+$N734+$N740+$N746+N748</f>
        <v>142.94</v>
      </c>
    </row>
    <row r="750" spans="2:18" ht="20.100000000000001" customHeight="1" thickBot="1">
      <c r="D750" s="182"/>
      <c r="E750" s="183"/>
      <c r="F750" s="183"/>
      <c r="G750" s="183"/>
      <c r="H750" s="183"/>
      <c r="I750" s="241"/>
      <c r="J750" s="184" t="s">
        <v>158</v>
      </c>
      <c r="K750" s="185"/>
      <c r="L750" s="309"/>
      <c r="M750" s="186">
        <v>0</v>
      </c>
      <c r="N750" s="310">
        <f>(M750*N749)+N749</f>
        <v>142.94</v>
      </c>
      <c r="O750" s="210"/>
      <c r="P750" s="16">
        <v>48.42</v>
      </c>
      <c r="R750" s="90">
        <f>(N750/P750)-1</f>
        <v>1.9520859149111938</v>
      </c>
    </row>
    <row r="753" spans="2:21" ht="20.100000000000001" customHeight="1" thickBot="1"/>
    <row r="754" spans="2:21" ht="20.100000000000001" customHeight="1">
      <c r="D754" s="598" t="s">
        <v>432</v>
      </c>
      <c r="E754" s="599"/>
      <c r="F754" s="524" t="s">
        <v>74</v>
      </c>
      <c r="G754" s="525"/>
      <c r="H754" s="525"/>
      <c r="I754" s="525"/>
      <c r="J754" s="525"/>
      <c r="K754" s="525"/>
      <c r="L754" s="526"/>
      <c r="M754" s="19" t="s">
        <v>75</v>
      </c>
      <c r="N754" s="20" t="s">
        <v>76</v>
      </c>
      <c r="U754" s="132">
        <f>N792</f>
        <v>342.93</v>
      </c>
    </row>
    <row r="755" spans="2:21" ht="20.100000000000001" customHeight="1">
      <c r="D755" s="600"/>
      <c r="E755" s="601"/>
      <c r="F755" s="512" t="s">
        <v>550</v>
      </c>
      <c r="G755" s="519"/>
      <c r="H755" s="519"/>
      <c r="I755" s="519"/>
      <c r="J755" s="519"/>
      <c r="K755" s="519"/>
      <c r="L755" s="513"/>
      <c r="M755" s="24" t="s">
        <v>428</v>
      </c>
      <c r="N755" s="25">
        <f>DATA</f>
        <v>41214</v>
      </c>
    </row>
    <row r="756" spans="2:21" ht="20.100000000000001" customHeight="1">
      <c r="D756" s="26" t="s">
        <v>77</v>
      </c>
      <c r="E756" s="27"/>
      <c r="F756" s="27"/>
      <c r="G756" s="27"/>
      <c r="H756" s="28"/>
      <c r="I756" s="214" t="s">
        <v>78</v>
      </c>
      <c r="J756" s="509" t="s">
        <v>79</v>
      </c>
      <c r="K756" s="511"/>
      <c r="L756" s="535" t="s">
        <v>80</v>
      </c>
      <c r="M756" s="536"/>
      <c r="N756" s="516" t="s">
        <v>81</v>
      </c>
    </row>
    <row r="757" spans="2:21" ht="20.100000000000001" customHeight="1">
      <c r="D757" s="31"/>
      <c r="E757" s="32"/>
      <c r="F757" s="32"/>
      <c r="G757" s="32"/>
      <c r="H757" s="33"/>
      <c r="I757" s="34"/>
      <c r="J757" s="51" t="s">
        <v>82</v>
      </c>
      <c r="K757" s="51" t="s">
        <v>83</v>
      </c>
      <c r="L757" s="51" t="s">
        <v>82</v>
      </c>
      <c r="M757" s="51" t="s">
        <v>84</v>
      </c>
      <c r="N757" s="517"/>
    </row>
    <row r="758" spans="2:21" ht="20.100000000000001" customHeight="1">
      <c r="B758" s="260" t="s">
        <v>272</v>
      </c>
      <c r="D758" s="264" t="str">
        <f t="shared" ref="D758:D764" si="66">IF(B758=0,0,VLOOKUP(B758,EQUIP,3,FALSE))</f>
        <v>COMPRESSOR DE AR (59KW)</v>
      </c>
      <c r="E758" s="265"/>
      <c r="F758" s="265"/>
      <c r="G758" s="265"/>
      <c r="H758" s="266"/>
      <c r="I758" s="318">
        <v>1</v>
      </c>
      <c r="J758" s="318">
        <v>1</v>
      </c>
      <c r="K758" s="318">
        <f>1-J758</f>
        <v>0</v>
      </c>
      <c r="L758" s="318">
        <f t="shared" ref="L758:L764" si="67">IF(B758=0,0,VLOOKUP(B758,EQUIP,6,FALSE))</f>
        <v>50.66</v>
      </c>
      <c r="M758" s="318">
        <f t="shared" ref="M758:M764" si="68">IF(B758=0,0,VLOOKUP(B758,EQUIP,7,FALSE))</f>
        <v>17.27</v>
      </c>
      <c r="N758" s="319">
        <f t="shared" ref="N758:N764" si="69">ROUND(I758*J758*L758+I758*K758*M758,2)</f>
        <v>50.66</v>
      </c>
    </row>
    <row r="759" spans="2:21" ht="20.100000000000001" customHeight="1">
      <c r="B759" s="260" t="s">
        <v>438</v>
      </c>
      <c r="D759" s="264" t="str">
        <f t="shared" si="66"/>
        <v>MARTELETE - ROMPEDOR 33KG</v>
      </c>
      <c r="E759" s="265"/>
      <c r="F759" s="265"/>
      <c r="G759" s="265"/>
      <c r="H759" s="266"/>
      <c r="I759" s="263">
        <v>1</v>
      </c>
      <c r="J759" s="263">
        <v>1</v>
      </c>
      <c r="K759" s="318">
        <f>1-J759</f>
        <v>0</v>
      </c>
      <c r="L759" s="318">
        <f t="shared" si="67"/>
        <v>16.079999999999998</v>
      </c>
      <c r="M759" s="318">
        <f t="shared" si="68"/>
        <v>15.35</v>
      </c>
      <c r="N759" s="319">
        <f t="shared" si="69"/>
        <v>16.079999999999998</v>
      </c>
    </row>
    <row r="760" spans="2:21" ht="20.100000000000001" customHeight="1">
      <c r="B760" s="260" t="s">
        <v>259</v>
      </c>
      <c r="D760" s="264" t="str">
        <f t="shared" si="66"/>
        <v>CAMINHÃO  CARROCERIA 4T (80 KW)</v>
      </c>
      <c r="E760" s="265"/>
      <c r="F760" s="265"/>
      <c r="G760" s="265"/>
      <c r="H760" s="266"/>
      <c r="I760" s="318">
        <v>1</v>
      </c>
      <c r="J760" s="318">
        <v>0.6</v>
      </c>
      <c r="K760" s="318">
        <f>1-J760</f>
        <v>0.4</v>
      </c>
      <c r="L760" s="318">
        <f t="shared" si="67"/>
        <v>101.47</v>
      </c>
      <c r="M760" s="318">
        <f t="shared" si="68"/>
        <v>20.47</v>
      </c>
      <c r="N760" s="319">
        <f t="shared" si="69"/>
        <v>69.069999999999993</v>
      </c>
    </row>
    <row r="761" spans="2:21" ht="20.100000000000001" customHeight="1">
      <c r="B761" s="260"/>
      <c r="D761" s="264">
        <f t="shared" si="66"/>
        <v>0</v>
      </c>
      <c r="E761" s="265"/>
      <c r="F761" s="265"/>
      <c r="G761" s="265"/>
      <c r="H761" s="266"/>
      <c r="I761" s="263"/>
      <c r="J761" s="263"/>
      <c r="K761" s="318"/>
      <c r="L761" s="318">
        <f t="shared" si="67"/>
        <v>0</v>
      </c>
      <c r="M761" s="318">
        <f t="shared" si="68"/>
        <v>0</v>
      </c>
      <c r="N761" s="319">
        <f t="shared" si="69"/>
        <v>0</v>
      </c>
    </row>
    <row r="762" spans="2:21" ht="20.100000000000001" customHeight="1">
      <c r="B762" s="260"/>
      <c r="D762" s="264">
        <f t="shared" si="66"/>
        <v>0</v>
      </c>
      <c r="E762" s="265"/>
      <c r="F762" s="265"/>
      <c r="G762" s="265"/>
      <c r="H762" s="266"/>
      <c r="I762" s="263"/>
      <c r="J762" s="263"/>
      <c r="K762" s="318"/>
      <c r="L762" s="318">
        <f t="shared" si="67"/>
        <v>0</v>
      </c>
      <c r="M762" s="318">
        <f t="shared" si="68"/>
        <v>0</v>
      </c>
      <c r="N762" s="319">
        <f t="shared" si="69"/>
        <v>0</v>
      </c>
    </row>
    <row r="763" spans="2:21" ht="20.100000000000001" customHeight="1">
      <c r="B763" s="260"/>
      <c r="D763" s="264">
        <f t="shared" si="66"/>
        <v>0</v>
      </c>
      <c r="E763" s="265"/>
      <c r="F763" s="265"/>
      <c r="G763" s="265"/>
      <c r="H763" s="266"/>
      <c r="I763" s="263"/>
      <c r="J763" s="318"/>
      <c r="K763" s="318"/>
      <c r="L763" s="318">
        <f t="shared" si="67"/>
        <v>0</v>
      </c>
      <c r="M763" s="318">
        <f t="shared" si="68"/>
        <v>0</v>
      </c>
      <c r="N763" s="319">
        <f t="shared" si="69"/>
        <v>0</v>
      </c>
    </row>
    <row r="764" spans="2:21" ht="20.100000000000001" customHeight="1">
      <c r="B764" s="260"/>
      <c r="D764" s="264">
        <f t="shared" si="66"/>
        <v>0</v>
      </c>
      <c r="E764" s="265"/>
      <c r="F764" s="265"/>
      <c r="G764" s="265"/>
      <c r="H764" s="266"/>
      <c r="I764" s="263"/>
      <c r="J764" s="318"/>
      <c r="K764" s="318"/>
      <c r="L764" s="318">
        <f t="shared" si="67"/>
        <v>0</v>
      </c>
      <c r="M764" s="318">
        <f t="shared" si="68"/>
        <v>0</v>
      </c>
      <c r="N764" s="319">
        <f t="shared" si="69"/>
        <v>0</v>
      </c>
    </row>
    <row r="765" spans="2:21" ht="20.100000000000001" customHeight="1">
      <c r="D765" s="155"/>
      <c r="E765" s="156"/>
      <c r="F765" s="156"/>
      <c r="G765" s="156"/>
      <c r="H765" s="156"/>
      <c r="I765" s="235"/>
      <c r="J765" s="157"/>
      <c r="K765" s="157"/>
      <c r="L765" s="216"/>
      <c r="M765" s="42" t="s">
        <v>89</v>
      </c>
      <c r="N765" s="270">
        <f>SUM(N758:N764)</f>
        <v>135.81</v>
      </c>
    </row>
    <row r="766" spans="2:21" ht="3.95" customHeight="1">
      <c r="D766" s="158"/>
      <c r="E766" s="159"/>
      <c r="F766" s="159"/>
      <c r="G766" s="160"/>
      <c r="H766" s="159"/>
      <c r="I766" s="236"/>
      <c r="J766" s="161"/>
      <c r="K766" s="162"/>
      <c r="L766" s="163"/>
      <c r="M766" s="163"/>
      <c r="N766" s="300"/>
    </row>
    <row r="767" spans="2:21" ht="20.100000000000001" customHeight="1">
      <c r="D767" s="518" t="s">
        <v>90</v>
      </c>
      <c r="E767" s="519"/>
      <c r="F767" s="519"/>
      <c r="G767" s="519"/>
      <c r="H767" s="519"/>
      <c r="I767" s="519"/>
      <c r="J767" s="513"/>
      <c r="K767" s="50" t="s">
        <v>91</v>
      </c>
      <c r="L767" s="51" t="s">
        <v>92</v>
      </c>
      <c r="M767" s="51" t="s">
        <v>93</v>
      </c>
      <c r="N767" s="272" t="s">
        <v>94</v>
      </c>
    </row>
    <row r="768" spans="2:21" ht="20.100000000000001" customHeight="1">
      <c r="B768" s="260" t="s">
        <v>247</v>
      </c>
      <c r="D768" s="264" t="str">
        <f>IF(B768=0,0,VLOOKUP(B768,MO,2,FALSE))</f>
        <v>ENCARREGADO DE TURMA</v>
      </c>
      <c r="E768" s="53"/>
      <c r="F768" s="53"/>
      <c r="G768" s="53"/>
      <c r="H768" s="53"/>
      <c r="I768" s="36"/>
      <c r="J768" s="54"/>
      <c r="K768" s="152"/>
      <c r="L768" s="164">
        <v>1</v>
      </c>
      <c r="M768" s="263">
        <f>IF(B768=0,0,VLOOKUP(B768,MO,6,FALSE))</f>
        <v>27</v>
      </c>
      <c r="N768" s="316">
        <f>ROUND(L768*M768,2)</f>
        <v>27</v>
      </c>
    </row>
    <row r="769" spans="2:14" ht="20.100000000000001" customHeight="1">
      <c r="B769" s="260" t="s">
        <v>441</v>
      </c>
      <c r="D769" s="264" t="str">
        <f>IF(B769=0,0,VLOOKUP(B769,MO,2,FALSE))</f>
        <v>MONTADOR</v>
      </c>
      <c r="E769" s="53"/>
      <c r="F769" s="53"/>
      <c r="G769" s="53"/>
      <c r="H769" s="53"/>
      <c r="I769" s="36"/>
      <c r="J769" s="54"/>
      <c r="K769" s="152"/>
      <c r="L769" s="164">
        <v>2</v>
      </c>
      <c r="M769" s="263">
        <f>IF(B769=0,0,VLOOKUP(B769,MO,6,FALSE))</f>
        <v>12.6043</v>
      </c>
      <c r="N769" s="316">
        <f>ROUND(L769*M769,2)</f>
        <v>25.21</v>
      </c>
    </row>
    <row r="770" spans="2:14" ht="20.100000000000001" customHeight="1">
      <c r="B770" s="260" t="s">
        <v>248</v>
      </c>
      <c r="D770" s="264" t="str">
        <f>IF(B770=0,0,VLOOKUP(B770,MO,2,FALSE))</f>
        <v>SERVENTE</v>
      </c>
      <c r="E770" s="53"/>
      <c r="F770" s="53"/>
      <c r="G770" s="53"/>
      <c r="H770" s="53"/>
      <c r="I770" s="36"/>
      <c r="J770" s="54"/>
      <c r="K770" s="152"/>
      <c r="L770" s="164">
        <v>4</v>
      </c>
      <c r="M770" s="263">
        <f>IF(B770=0,0,VLOOKUP(B770,MO,6,FALSE))</f>
        <v>7.9973000000000001</v>
      </c>
      <c r="N770" s="316">
        <f>ROUND(L770*M770,2)</f>
        <v>31.99</v>
      </c>
    </row>
    <row r="771" spans="2:14" ht="20.100000000000001" customHeight="1">
      <c r="B771" s="260"/>
      <c r="D771" s="52" t="s">
        <v>122</v>
      </c>
      <c r="E771" s="53"/>
      <c r="F771" s="53"/>
      <c r="G771" s="53"/>
      <c r="H771" s="53"/>
      <c r="I771" s="36"/>
      <c r="J771" s="54"/>
      <c r="K771" s="165">
        <v>0.05</v>
      </c>
      <c r="L771" s="320">
        <f>N768+N769</f>
        <v>52.21</v>
      </c>
      <c r="M771" s="164"/>
      <c r="N771" s="316">
        <f>ROUND(L771*K771,2)</f>
        <v>2.61</v>
      </c>
    </row>
    <row r="772" spans="2:14" ht="20.100000000000001" customHeight="1">
      <c r="D772" s="167"/>
      <c r="E772" s="59"/>
      <c r="F772" s="168"/>
      <c r="G772" s="168"/>
      <c r="H772" s="159"/>
      <c r="I772" s="236"/>
      <c r="J772" s="169"/>
      <c r="K772" s="162"/>
      <c r="L772" s="163"/>
      <c r="M772" s="62" t="s">
        <v>98</v>
      </c>
      <c r="N772" s="302">
        <f>SUM(N768:N771)</f>
        <v>86.81</v>
      </c>
    </row>
    <row r="773" spans="2:14" ht="3.95" customHeight="1">
      <c r="D773" s="158"/>
      <c r="E773" s="159"/>
      <c r="F773" s="159"/>
      <c r="G773" s="159"/>
      <c r="H773" s="159"/>
      <c r="I773" s="236"/>
      <c r="J773" s="169"/>
      <c r="K773" s="162"/>
      <c r="L773" s="163"/>
      <c r="M773" s="163"/>
      <c r="N773" s="300"/>
    </row>
    <row r="774" spans="2:14" ht="20.100000000000001" customHeight="1">
      <c r="D774" s="170"/>
      <c r="E774" s="168"/>
      <c r="F774" s="168"/>
      <c r="G774" s="168"/>
      <c r="H774" s="171"/>
      <c r="I774" s="237"/>
      <c r="J774" s="171"/>
      <c r="K774" s="509" t="s">
        <v>99</v>
      </c>
      <c r="L774" s="510"/>
      <c r="M774" s="511"/>
      <c r="N774" s="303">
        <f>+N765+N772</f>
        <v>222.62</v>
      </c>
    </row>
    <row r="775" spans="2:14" ht="3.95" customHeight="1">
      <c r="D775" s="172"/>
      <c r="E775" s="159"/>
      <c r="F775" s="159"/>
      <c r="G775" s="160"/>
      <c r="H775" s="159"/>
      <c r="I775" s="236"/>
      <c r="J775" s="161"/>
      <c r="K775" s="162"/>
      <c r="L775" s="163"/>
      <c r="M775" s="163"/>
      <c r="N775" s="300"/>
    </row>
    <row r="776" spans="2:14" ht="20.100000000000001" customHeight="1">
      <c r="D776" s="167"/>
      <c r="E776" s="509" t="s">
        <v>100</v>
      </c>
      <c r="F776" s="510"/>
      <c r="G776" s="510"/>
      <c r="H776" s="511"/>
      <c r="I776" s="238">
        <v>8</v>
      </c>
      <c r="J776" s="163"/>
      <c r="K776" s="506" t="s">
        <v>101</v>
      </c>
      <c r="L776" s="507"/>
      <c r="M776" s="508"/>
      <c r="N776" s="304">
        <f>ROUND(N774/I776,2)</f>
        <v>27.83</v>
      </c>
    </row>
    <row r="777" spans="2:14" ht="3.95" customHeight="1">
      <c r="D777" s="158"/>
      <c r="E777" s="159"/>
      <c r="F777" s="159"/>
      <c r="G777" s="173"/>
      <c r="H777" s="159"/>
      <c r="I777" s="163"/>
      <c r="J777" s="161"/>
      <c r="K777" s="161"/>
      <c r="L777" s="163"/>
      <c r="M777" s="161"/>
      <c r="N777" s="305"/>
    </row>
    <row r="778" spans="2:14" ht="20.100000000000001" customHeight="1">
      <c r="D778" s="49" t="s">
        <v>102</v>
      </c>
      <c r="E778" s="22"/>
      <c r="F778" s="22"/>
      <c r="G778" s="22"/>
      <c r="H778" s="22"/>
      <c r="I778" s="141"/>
      <c r="J778" s="23"/>
      <c r="K778" s="50" t="s">
        <v>103</v>
      </c>
      <c r="L778" s="51" t="s">
        <v>80</v>
      </c>
      <c r="M778" s="51" t="s">
        <v>104</v>
      </c>
      <c r="N778" s="272" t="s">
        <v>105</v>
      </c>
    </row>
    <row r="779" spans="2:14" ht="20.100000000000001" customHeight="1">
      <c r="B779" s="260" t="s">
        <v>548</v>
      </c>
      <c r="D779" s="264" t="str">
        <f>IF(B779=0,0,VLOOKUP(B779,MAT,3,FALSE))</f>
        <v>ANCORAGEM DEFENSA SEMI-MALEÁVEL SIMPLES</v>
      </c>
      <c r="E779" s="53"/>
      <c r="F779" s="53"/>
      <c r="G779" s="53"/>
      <c r="H779" s="53"/>
      <c r="I779" s="36"/>
      <c r="J779" s="54"/>
      <c r="K779" s="262" t="str">
        <f>IF(B779=0,0,VLOOKUP(B779,MAT,5,FALSE))</f>
        <v>M</v>
      </c>
      <c r="L779" s="267">
        <f>IF(B779=0,0,VLOOKUP(B779,MAT,6,FALSE))</f>
        <v>315.10000000000002</v>
      </c>
      <c r="M779" s="174">
        <v>1</v>
      </c>
      <c r="N779" s="316">
        <f>ROUND(L779*M779,2)</f>
        <v>315.10000000000002</v>
      </c>
    </row>
    <row r="780" spans="2:14" ht="20.100000000000001" customHeight="1">
      <c r="B780" s="260"/>
      <c r="D780" s="264">
        <f>IF(B780=0,0,VLOOKUP(B780,MAT,3,FALSE))</f>
        <v>0</v>
      </c>
      <c r="E780" s="53"/>
      <c r="F780" s="53"/>
      <c r="G780" s="53"/>
      <c r="H780" s="53"/>
      <c r="I780" s="36"/>
      <c r="J780" s="54"/>
      <c r="K780" s="262">
        <f>IF(B780=0,0,VLOOKUP(B780,MAT,5,FALSE))</f>
        <v>0</v>
      </c>
      <c r="L780" s="267">
        <f>IF(B780=0,0,VLOOKUP(B780,MAT,6,FALSE))</f>
        <v>0</v>
      </c>
      <c r="M780" s="174"/>
      <c r="N780" s="316">
        <f>ROUND(L780*M780,2)</f>
        <v>0</v>
      </c>
    </row>
    <row r="781" spans="2:14" ht="20.100000000000001" customHeight="1">
      <c r="B781" s="260"/>
      <c r="D781" s="264">
        <f>IF(B781=0,0,VLOOKUP(B781,MAT,3,FALSE))</f>
        <v>0</v>
      </c>
      <c r="E781" s="53"/>
      <c r="F781" s="53"/>
      <c r="G781" s="53"/>
      <c r="H781" s="53"/>
      <c r="I781" s="36"/>
      <c r="J781" s="54"/>
      <c r="K781" s="262">
        <f>IF(B781=0,0,VLOOKUP(B781,MAT,5,FALSE))</f>
        <v>0</v>
      </c>
      <c r="L781" s="267">
        <f>IF(B781=0,0,VLOOKUP(B781,MAT,6,FALSE))</f>
        <v>0</v>
      </c>
      <c r="M781" s="174"/>
      <c r="N781" s="316">
        <f>ROUND(L781*M781,2)</f>
        <v>0</v>
      </c>
    </row>
    <row r="782" spans="2:14" ht="20.100000000000001" customHeight="1">
      <c r="D782" s="158"/>
      <c r="E782" s="159"/>
      <c r="F782" s="159"/>
      <c r="G782" s="173"/>
      <c r="H782" s="159"/>
      <c r="I782" s="163"/>
      <c r="J782" s="161"/>
      <c r="K782" s="161"/>
      <c r="L782" s="163"/>
      <c r="M782" s="71" t="s">
        <v>106</v>
      </c>
      <c r="N782" s="302">
        <f>SUM(N779:N781)</f>
        <v>315.10000000000002</v>
      </c>
    </row>
    <row r="783" spans="2:14" ht="20.100000000000001" customHeight="1">
      <c r="D783" s="158"/>
      <c r="E783" s="159"/>
      <c r="F783" s="159"/>
      <c r="G783" s="173"/>
      <c r="H783" s="159"/>
      <c r="I783" s="163"/>
      <c r="J783" s="161"/>
      <c r="K783" s="161"/>
      <c r="L783" s="163"/>
      <c r="M783" s="161"/>
      <c r="N783" s="305"/>
    </row>
    <row r="784" spans="2:14" ht="20.100000000000001" customHeight="1">
      <c r="D784" s="527" t="s">
        <v>107</v>
      </c>
      <c r="E784" s="72" t="s">
        <v>2</v>
      </c>
      <c r="F784" s="73"/>
      <c r="G784" s="73"/>
      <c r="H784" s="74"/>
      <c r="I784" s="498" t="s">
        <v>108</v>
      </c>
      <c r="J784" s="499"/>
      <c r="K784" s="531" t="s">
        <v>103</v>
      </c>
      <c r="L784" s="514" t="s">
        <v>80</v>
      </c>
      <c r="M784" s="531" t="s">
        <v>109</v>
      </c>
      <c r="N784" s="529" t="s">
        <v>105</v>
      </c>
    </row>
    <row r="785" spans="2:21" ht="20.100000000000001" customHeight="1">
      <c r="D785" s="528"/>
      <c r="E785" s="512" t="s">
        <v>110</v>
      </c>
      <c r="F785" s="513"/>
      <c r="G785" s="512" t="s">
        <v>111</v>
      </c>
      <c r="H785" s="513"/>
      <c r="I785" s="500"/>
      <c r="J785" s="501"/>
      <c r="K785" s="532"/>
      <c r="L785" s="515"/>
      <c r="M785" s="532"/>
      <c r="N785" s="530"/>
    </row>
    <row r="786" spans="2:21" ht="20.100000000000001" customHeight="1">
      <c r="B786" s="260"/>
      <c r="D786" s="261">
        <f>IF(B786=0,0,VLOOKUP(B786,TRANS,3,FALSE))</f>
        <v>0</v>
      </c>
      <c r="E786" s="581">
        <f>IF(B786=0,0,VLOOKUP(B786,TRANS,5,FALSE))</f>
        <v>0</v>
      </c>
      <c r="F786" s="582"/>
      <c r="G786" s="502"/>
      <c r="H786" s="503"/>
      <c r="I786" s="533"/>
      <c r="J786" s="534">
        <v>50</v>
      </c>
      <c r="K786" s="262">
        <f>IF(B786=0,0,VLOOKUP(B786,TRANS,4,FALSE))</f>
        <v>0</v>
      </c>
      <c r="L786" s="387">
        <f>E786*I786</f>
        <v>0</v>
      </c>
      <c r="M786" s="70"/>
      <c r="N786" s="317">
        <f>ROUND(L786*M786,2)</f>
        <v>0</v>
      </c>
    </row>
    <row r="787" spans="2:21" ht="20.100000000000001" customHeight="1">
      <c r="B787" s="260"/>
      <c r="D787" s="261"/>
      <c r="E787" s="504"/>
      <c r="F787" s="505"/>
      <c r="G787" s="502"/>
      <c r="H787" s="503"/>
      <c r="I787" s="533"/>
      <c r="J787" s="534"/>
      <c r="K787" s="66"/>
      <c r="L787" s="67"/>
      <c r="M787" s="70"/>
      <c r="N787" s="278"/>
    </row>
    <row r="788" spans="2:21" ht="20.100000000000001" customHeight="1">
      <c r="D788" s="175"/>
      <c r="E788" s="176"/>
      <c r="F788" s="159"/>
      <c r="G788" s="173"/>
      <c r="H788" s="159"/>
      <c r="I788" s="163"/>
      <c r="J788" s="161"/>
      <c r="K788" s="161"/>
      <c r="L788" s="163"/>
      <c r="M788" s="71" t="s">
        <v>112</v>
      </c>
      <c r="N788" s="437">
        <f>SUM(N786:N787)</f>
        <v>0</v>
      </c>
    </row>
    <row r="789" spans="2:21" ht="3.95" customHeight="1" thickBot="1">
      <c r="D789" s="175"/>
      <c r="E789" s="159"/>
      <c r="F789" s="173"/>
      <c r="G789" s="159"/>
      <c r="H789" s="161"/>
      <c r="I789" s="163"/>
      <c r="J789" s="161"/>
      <c r="K789" s="161"/>
      <c r="L789" s="163"/>
      <c r="M789" s="161"/>
      <c r="N789" s="305"/>
    </row>
    <row r="790" spans="2:21" ht="20.100000000000001" customHeight="1">
      <c r="D790" s="177"/>
      <c r="E790" s="178"/>
      <c r="F790" s="178"/>
      <c r="G790" s="178"/>
      <c r="H790" s="179"/>
      <c r="I790" s="239"/>
      <c r="J790" s="127" t="s">
        <v>114</v>
      </c>
      <c r="K790" s="128"/>
      <c r="L790" s="306"/>
      <c r="M790" s="129">
        <v>0</v>
      </c>
      <c r="N790" s="447">
        <f>(+$N776+$N782+$N788)*M790</f>
        <v>0</v>
      </c>
    </row>
    <row r="791" spans="2:21" ht="20.100000000000001" customHeight="1" thickBot="1">
      <c r="D791" s="180"/>
      <c r="E791" s="181"/>
      <c r="F791" s="181"/>
      <c r="G791" s="181"/>
      <c r="H791" s="181"/>
      <c r="I791" s="240"/>
      <c r="J791" s="537" t="s">
        <v>149</v>
      </c>
      <c r="K791" s="538"/>
      <c r="L791" s="538"/>
      <c r="M791" s="538"/>
      <c r="N791" s="308">
        <f>+$N776+$N782+$N788+N790</f>
        <v>342.93</v>
      </c>
    </row>
    <row r="792" spans="2:21" ht="20.100000000000001" customHeight="1" thickBot="1">
      <c r="D792" s="182"/>
      <c r="E792" s="183"/>
      <c r="F792" s="183"/>
      <c r="G792" s="183"/>
      <c r="H792" s="183"/>
      <c r="I792" s="241"/>
      <c r="J792" s="184" t="s">
        <v>158</v>
      </c>
      <c r="K792" s="185"/>
      <c r="L792" s="309"/>
      <c r="M792" s="186">
        <v>0</v>
      </c>
      <c r="N792" s="310">
        <f>(M792*N791)+N791</f>
        <v>342.93</v>
      </c>
      <c r="O792" s="210"/>
      <c r="P792" s="16">
        <v>48.42</v>
      </c>
      <c r="R792" s="90">
        <f>(N792/P792)-1</f>
        <v>6.0824039653035937</v>
      </c>
    </row>
    <row r="795" spans="2:21" ht="20.100000000000001" customHeight="1" thickBot="1"/>
    <row r="796" spans="2:21" ht="20.100000000000001" customHeight="1">
      <c r="D796" s="598" t="s">
        <v>446</v>
      </c>
      <c r="E796" s="599"/>
      <c r="F796" s="524" t="s">
        <v>74</v>
      </c>
      <c r="G796" s="525"/>
      <c r="H796" s="525"/>
      <c r="I796" s="525"/>
      <c r="J796" s="525"/>
      <c r="K796" s="525"/>
      <c r="L796" s="526"/>
      <c r="M796" s="19" t="s">
        <v>75</v>
      </c>
      <c r="N796" s="20" t="s">
        <v>76</v>
      </c>
      <c r="U796" s="132">
        <f>N832</f>
        <v>52.57</v>
      </c>
    </row>
    <row r="797" spans="2:21" ht="20.100000000000001" customHeight="1">
      <c r="D797" s="600"/>
      <c r="E797" s="601"/>
      <c r="F797" s="512" t="s">
        <v>447</v>
      </c>
      <c r="G797" s="519"/>
      <c r="H797" s="519"/>
      <c r="I797" s="519"/>
      <c r="J797" s="519"/>
      <c r="K797" s="519"/>
      <c r="L797" s="513"/>
      <c r="M797" s="24" t="s">
        <v>5</v>
      </c>
      <c r="N797" s="25">
        <f>DATA</f>
        <v>41214</v>
      </c>
    </row>
    <row r="798" spans="2:21" ht="20.100000000000001" customHeight="1">
      <c r="D798" s="26" t="s">
        <v>77</v>
      </c>
      <c r="E798" s="27"/>
      <c r="F798" s="27"/>
      <c r="G798" s="27"/>
      <c r="H798" s="28"/>
      <c r="I798" s="214" t="s">
        <v>78</v>
      </c>
      <c r="J798" s="509" t="s">
        <v>79</v>
      </c>
      <c r="K798" s="511"/>
      <c r="L798" s="535" t="s">
        <v>80</v>
      </c>
      <c r="M798" s="536"/>
      <c r="N798" s="516" t="s">
        <v>81</v>
      </c>
    </row>
    <row r="799" spans="2:21" ht="20.100000000000001" customHeight="1">
      <c r="D799" s="31"/>
      <c r="E799" s="32"/>
      <c r="F799" s="32"/>
      <c r="G799" s="32"/>
      <c r="H799" s="33"/>
      <c r="I799" s="34"/>
      <c r="J799" s="51" t="s">
        <v>82</v>
      </c>
      <c r="K799" s="51" t="s">
        <v>83</v>
      </c>
      <c r="L799" s="51" t="s">
        <v>82</v>
      </c>
      <c r="M799" s="51" t="s">
        <v>84</v>
      </c>
      <c r="N799" s="517"/>
    </row>
    <row r="800" spans="2:21" ht="20.100000000000001" customHeight="1">
      <c r="B800" s="260" t="s">
        <v>288</v>
      </c>
      <c r="D800" s="35" t="str">
        <f>IF(B800=0,0,VLOOKUP(B800,EQUIP,3,FALSE))</f>
        <v>ROLO COMPACTADOR TANDEM VIBRAT. AUTOPROPO. 10,9 T (112 KW)</v>
      </c>
      <c r="E800" s="91"/>
      <c r="F800" s="91"/>
      <c r="G800" s="91"/>
      <c r="H800" s="92"/>
      <c r="I800" s="215">
        <v>1</v>
      </c>
      <c r="J800" s="38">
        <v>0.73</v>
      </c>
      <c r="K800" s="38">
        <f>1-J800</f>
        <v>0.27</v>
      </c>
      <c r="L800" s="215">
        <f>IF(B800=0,0,VLOOKUP(B800,EQUIP,6,FALSE))</f>
        <v>112.07</v>
      </c>
      <c r="M800" s="38">
        <f>IF(B800=0,0,VLOOKUP(B800,EQUIP,7,FALSE))</f>
        <v>17.27</v>
      </c>
      <c r="N800" s="269">
        <f>ROUND(J800*L800+K800*M800,2)</f>
        <v>86.47</v>
      </c>
    </row>
    <row r="801" spans="2:14" ht="20.100000000000001" customHeight="1">
      <c r="B801" s="260" t="s">
        <v>285</v>
      </c>
      <c r="D801" s="35" t="str">
        <f>IF(B801=0,0,VLOOKUP(B801,EQUIP,3,FALSE))</f>
        <v>ROLO COMPACTADOR DE PNEUS 21 t (97 KW)</v>
      </c>
      <c r="E801" s="36"/>
      <c r="F801" s="36"/>
      <c r="G801" s="36"/>
      <c r="H801" s="37"/>
      <c r="I801" s="215">
        <v>1</v>
      </c>
      <c r="J801" s="39">
        <v>0.75</v>
      </c>
      <c r="K801" s="38">
        <f>1-J801</f>
        <v>0.25</v>
      </c>
      <c r="L801" s="215">
        <f>IF(B801=0,0,VLOOKUP(B801,EQUIP,6,FALSE))</f>
        <v>96.39</v>
      </c>
      <c r="M801" s="38">
        <f>IF(B801=0,0,VLOOKUP(B801,EQUIP,7,FALSE))</f>
        <v>17.27</v>
      </c>
      <c r="N801" s="269">
        <f>ROUND(J801*L801+K801*M801,2)</f>
        <v>76.61</v>
      </c>
    </row>
    <row r="802" spans="2:14" ht="20.100000000000001" customHeight="1">
      <c r="B802" s="260" t="s">
        <v>274</v>
      </c>
      <c r="D802" s="35" t="str">
        <f>IF(B802=0,0,VLOOKUP(B802,EQUIP,3,FALSE))</f>
        <v>DISTRIBUIDOR DE AGREGADOS - REBOCÁVEL</v>
      </c>
      <c r="E802" s="91"/>
      <c r="F802" s="91"/>
      <c r="G802" s="91"/>
      <c r="H802" s="92"/>
      <c r="I802" s="215">
        <v>1</v>
      </c>
      <c r="J802" s="38">
        <v>0.89</v>
      </c>
      <c r="K802" s="38">
        <f>1-J802</f>
        <v>0.10999999999999999</v>
      </c>
      <c r="L802" s="215">
        <f>IF(B802=0,0,VLOOKUP(B802,EQUIP,6,FALSE))</f>
        <v>3.26</v>
      </c>
      <c r="M802" s="38">
        <f>IF(B802=0,0,VLOOKUP(B802,EQUIP,7,FALSE))</f>
        <v>0</v>
      </c>
      <c r="N802" s="269">
        <f>ROUND(J802*L802+K802*M802,2)</f>
        <v>2.9</v>
      </c>
    </row>
    <row r="803" spans="2:14" ht="20.100000000000001" customHeight="1">
      <c r="B803" s="260" t="s">
        <v>262</v>
      </c>
      <c r="D803" s="35" t="str">
        <f>IF(B803=0,0,VLOOKUP(B803,EQUIP,3,FALSE))</f>
        <v>CAMINHÃO BASCULANTE 10m3 - 15 T (170 KW)</v>
      </c>
      <c r="E803" s="36"/>
      <c r="F803" s="36"/>
      <c r="G803" s="36"/>
      <c r="H803" s="37"/>
      <c r="I803" s="55">
        <v>3.56</v>
      </c>
      <c r="J803" s="38">
        <v>1</v>
      </c>
      <c r="K803" s="38">
        <f>1-J803</f>
        <v>0</v>
      </c>
      <c r="L803" s="215">
        <f>IF(B803=0,0,VLOOKUP(B803,EQUIP,6,FALSE))</f>
        <v>135.83000000000001</v>
      </c>
      <c r="M803" s="38">
        <f>IF(B803=0,0,VLOOKUP(B803,EQUIP,7,FALSE))</f>
        <v>20.47</v>
      </c>
      <c r="N803" s="269">
        <f>ROUND(J803*L803+K803*M803,2)</f>
        <v>135.83000000000001</v>
      </c>
    </row>
    <row r="804" spans="2:14" ht="20.100000000000001" customHeight="1">
      <c r="B804" s="260" t="s">
        <v>265</v>
      </c>
      <c r="D804" s="35" t="str">
        <f>IF(B804=0,0,VLOOKUP(B804,EQUIP,3,FALSE))</f>
        <v>CAMINHÃO TANQUE 10.000 l</v>
      </c>
      <c r="E804" s="36"/>
      <c r="F804" s="36"/>
      <c r="G804" s="36"/>
      <c r="H804" s="37"/>
      <c r="I804" s="215">
        <v>1</v>
      </c>
      <c r="J804" s="38">
        <v>0.7</v>
      </c>
      <c r="K804" s="38">
        <f>1-J804</f>
        <v>0.30000000000000004</v>
      </c>
      <c r="L804" s="215">
        <f>IF(B804=0,0,VLOOKUP(B804,EQUIP,6,FALSE))</f>
        <v>126.87</v>
      </c>
      <c r="M804" s="38">
        <f>IF(B804=0,0,VLOOKUP(B804,EQUIP,7,FALSE))</f>
        <v>20.47</v>
      </c>
      <c r="N804" s="269">
        <f>ROUND(J804*L804+K804*M804,2)</f>
        <v>94.95</v>
      </c>
    </row>
    <row r="805" spans="2:14" ht="20.100000000000001" customHeight="1">
      <c r="D805" s="155"/>
      <c r="E805" s="156"/>
      <c r="F805" s="156"/>
      <c r="G805" s="156"/>
      <c r="H805" s="156"/>
      <c r="I805" s="235"/>
      <c r="J805" s="157"/>
      <c r="K805" s="157"/>
      <c r="L805" s="216"/>
      <c r="M805" s="42" t="s">
        <v>89</v>
      </c>
      <c r="N805" s="270">
        <f>SUM(N800:N804)</f>
        <v>396.76</v>
      </c>
    </row>
    <row r="806" spans="2:14" ht="3.95" customHeight="1">
      <c r="D806" s="158"/>
      <c r="E806" s="159"/>
      <c r="F806" s="159"/>
      <c r="G806" s="160"/>
      <c r="H806" s="159"/>
      <c r="I806" s="236"/>
      <c r="J806" s="161"/>
      <c r="K806" s="162"/>
      <c r="L806" s="163"/>
      <c r="M806" s="163"/>
      <c r="N806" s="300"/>
    </row>
    <row r="807" spans="2:14" ht="20.100000000000001" customHeight="1">
      <c r="D807" s="518" t="s">
        <v>90</v>
      </c>
      <c r="E807" s="519"/>
      <c r="F807" s="519"/>
      <c r="G807" s="519"/>
      <c r="H807" s="519"/>
      <c r="I807" s="519"/>
      <c r="J807" s="513"/>
      <c r="K807" s="50" t="s">
        <v>91</v>
      </c>
      <c r="L807" s="51" t="s">
        <v>92</v>
      </c>
      <c r="M807" s="51" t="s">
        <v>93</v>
      </c>
      <c r="N807" s="272" t="s">
        <v>94</v>
      </c>
    </row>
    <row r="808" spans="2:14" ht="20.100000000000001" customHeight="1">
      <c r="B808" s="260" t="s">
        <v>250</v>
      </c>
      <c r="D808" s="52" t="str">
        <f>IF(B808=0,0,VLOOKUP(B808,MO,2,FALSE))</f>
        <v>ENCARREGADO DE PAVIMENTAÇÃO</v>
      </c>
      <c r="E808" s="53"/>
      <c r="F808" s="53"/>
      <c r="G808" s="53"/>
      <c r="H808" s="53"/>
      <c r="I808" s="36"/>
      <c r="J808" s="54"/>
      <c r="K808" s="152"/>
      <c r="L808" s="164">
        <v>1</v>
      </c>
      <c r="M808" s="55">
        <f>IF(B808=0,0,VLOOKUP(B808,MO,6,FALSE))</f>
        <v>44.786799999999999</v>
      </c>
      <c r="N808" s="301">
        <f>ROUND(L808*M808,2)</f>
        <v>44.79</v>
      </c>
    </row>
    <row r="809" spans="2:14" ht="20.100000000000001" customHeight="1">
      <c r="B809" s="260" t="s">
        <v>248</v>
      </c>
      <c r="D809" s="52" t="str">
        <f>IF(B809=0,0,VLOOKUP(B809,MO,2,FALSE))</f>
        <v>SERVENTE</v>
      </c>
      <c r="E809" s="53"/>
      <c r="F809" s="53"/>
      <c r="G809" s="53"/>
      <c r="H809" s="53"/>
      <c r="I809" s="36"/>
      <c r="J809" s="54"/>
      <c r="K809" s="152"/>
      <c r="L809" s="164">
        <v>3</v>
      </c>
      <c r="M809" s="55">
        <f>IF(B809=0,0,VLOOKUP(B809,MO,6,FALSE))</f>
        <v>7.9973000000000001</v>
      </c>
      <c r="N809" s="301">
        <f>ROUND(L809*M809,2)</f>
        <v>23.99</v>
      </c>
    </row>
    <row r="810" spans="2:14" ht="20.100000000000001" customHeight="1">
      <c r="B810" s="260"/>
      <c r="D810" s="52" t="s">
        <v>122</v>
      </c>
      <c r="E810" s="53"/>
      <c r="F810" s="53"/>
      <c r="G810" s="53"/>
      <c r="H810" s="53"/>
      <c r="I810" s="36"/>
      <c r="J810" s="54"/>
      <c r="K810" s="165">
        <v>0.15509999999999999</v>
      </c>
      <c r="L810" s="166">
        <f>N808+N809</f>
        <v>68.78</v>
      </c>
      <c r="M810" s="164"/>
      <c r="N810" s="301">
        <f>ROUND(L810*K810,2)</f>
        <v>10.67</v>
      </c>
    </row>
    <row r="811" spans="2:14" ht="20.100000000000001" customHeight="1">
      <c r="D811" s="167"/>
      <c r="E811" s="59"/>
      <c r="F811" s="168"/>
      <c r="G811" s="168"/>
      <c r="H811" s="159"/>
      <c r="I811" s="236"/>
      <c r="J811" s="169"/>
      <c r="K811" s="162"/>
      <c r="L811" s="163"/>
      <c r="M811" s="62" t="s">
        <v>98</v>
      </c>
      <c r="N811" s="302">
        <f>SUM(N808:N810)</f>
        <v>79.45</v>
      </c>
    </row>
    <row r="812" spans="2:14" ht="3.95" customHeight="1">
      <c r="D812" s="158"/>
      <c r="E812" s="159"/>
      <c r="F812" s="159"/>
      <c r="G812" s="159"/>
      <c r="H812" s="159"/>
      <c r="I812" s="236"/>
      <c r="J812" s="169"/>
      <c r="K812" s="162"/>
      <c r="L812" s="163"/>
      <c r="M812" s="163"/>
      <c r="N812" s="300"/>
    </row>
    <row r="813" spans="2:14" ht="20.100000000000001" customHeight="1">
      <c r="D813" s="170"/>
      <c r="E813" s="168"/>
      <c r="F813" s="168"/>
      <c r="G813" s="168"/>
      <c r="H813" s="171"/>
      <c r="I813" s="237"/>
      <c r="J813" s="171"/>
      <c r="K813" s="509" t="s">
        <v>99</v>
      </c>
      <c r="L813" s="510"/>
      <c r="M813" s="511"/>
      <c r="N813" s="303">
        <f>+N805+N811</f>
        <v>476.21</v>
      </c>
    </row>
    <row r="814" spans="2:14" ht="3.95" customHeight="1">
      <c r="D814" s="172"/>
      <c r="E814" s="159"/>
      <c r="F814" s="159"/>
      <c r="G814" s="160"/>
      <c r="H814" s="159"/>
      <c r="I814" s="236"/>
      <c r="J814" s="161"/>
      <c r="K814" s="162"/>
      <c r="L814" s="163"/>
      <c r="M814" s="163"/>
      <c r="N814" s="300"/>
    </row>
    <row r="815" spans="2:14" ht="20.100000000000001" customHeight="1">
      <c r="D815" s="167"/>
      <c r="E815" s="509" t="s">
        <v>100</v>
      </c>
      <c r="F815" s="510"/>
      <c r="G815" s="510"/>
      <c r="H815" s="511"/>
      <c r="I815" s="238">
        <v>210</v>
      </c>
      <c r="J815" s="163"/>
      <c r="K815" s="506" t="s">
        <v>101</v>
      </c>
      <c r="L815" s="507"/>
      <c r="M815" s="508"/>
      <c r="N815" s="304">
        <f>ROUND(N813/I815,2)</f>
        <v>2.27</v>
      </c>
    </row>
    <row r="816" spans="2:14" ht="3.95" customHeight="1">
      <c r="D816" s="158"/>
      <c r="E816" s="159"/>
      <c r="F816" s="159"/>
      <c r="G816" s="173"/>
      <c r="H816" s="159"/>
      <c r="I816" s="163"/>
      <c r="J816" s="161"/>
      <c r="K816" s="161"/>
      <c r="L816" s="163"/>
      <c r="M816" s="161"/>
      <c r="N816" s="305"/>
    </row>
    <row r="817" spans="2:18" ht="20.100000000000001" customHeight="1">
      <c r="D817" s="49" t="s">
        <v>102</v>
      </c>
      <c r="E817" s="22"/>
      <c r="F817" s="22"/>
      <c r="G817" s="22"/>
      <c r="H817" s="22"/>
      <c r="I817" s="141"/>
      <c r="J817" s="23"/>
      <c r="K817" s="50" t="s">
        <v>103</v>
      </c>
      <c r="L817" s="51" t="s">
        <v>80</v>
      </c>
      <c r="M817" s="51" t="s">
        <v>104</v>
      </c>
      <c r="N817" s="272" t="s">
        <v>105</v>
      </c>
    </row>
    <row r="818" spans="2:18" ht="20.100000000000001" customHeight="1">
      <c r="B818" s="260" t="s">
        <v>448</v>
      </c>
      <c r="D818" s="52" t="str">
        <f>IF(B818=0,0,VLOOKUP(B818,MAT,3,FALSE))</f>
        <v>USINAGEM DE BRITA GRADUADA</v>
      </c>
      <c r="E818" s="53"/>
      <c r="F818" s="53"/>
      <c r="G818" s="53"/>
      <c r="H818" s="53"/>
      <c r="I818" s="36"/>
      <c r="J818" s="54"/>
      <c r="K818" s="66" t="str">
        <f>IF(B818=0,0,VLOOKUP(B818,MAT,5,FALSE))</f>
        <v>M3</v>
      </c>
      <c r="L818" s="67">
        <f>IF(B818=0,0,VLOOKUP(B818,MAT,6,FALSE))</f>
        <v>52.57</v>
      </c>
      <c r="M818" s="174">
        <v>1</v>
      </c>
      <c r="N818" s="301">
        <f>ROUND(L818*M818,2)</f>
        <v>52.57</v>
      </c>
    </row>
    <row r="819" spans="2:18" ht="20.100000000000001" customHeight="1">
      <c r="B819" s="260"/>
      <c r="D819" s="52"/>
      <c r="E819" s="53"/>
      <c r="F819" s="53"/>
      <c r="G819" s="53"/>
      <c r="H819" s="53"/>
      <c r="I819" s="36"/>
      <c r="J819" s="54"/>
      <c r="K819" s="66"/>
      <c r="L819" s="211"/>
      <c r="M819" s="174"/>
      <c r="N819" s="316">
        <f>ROUND(L819*M819,2)</f>
        <v>0</v>
      </c>
    </row>
    <row r="820" spans="2:18" ht="20.100000000000001" customHeight="1">
      <c r="B820" s="260"/>
      <c r="D820" s="52"/>
      <c r="E820" s="53"/>
      <c r="F820" s="53"/>
      <c r="G820" s="53"/>
      <c r="H820" s="53"/>
      <c r="I820" s="36"/>
      <c r="J820" s="54"/>
      <c r="K820" s="66"/>
      <c r="L820" s="67"/>
      <c r="M820" s="174"/>
      <c r="N820" s="316">
        <f>ROUND(L820*M820,2)</f>
        <v>0</v>
      </c>
    </row>
    <row r="821" spans="2:18" ht="20.100000000000001" customHeight="1">
      <c r="D821" s="158"/>
      <c r="E821" s="159"/>
      <c r="F821" s="159"/>
      <c r="G821" s="173"/>
      <c r="H821" s="159"/>
      <c r="I821" s="163"/>
      <c r="J821" s="161"/>
      <c r="K821" s="161"/>
      <c r="L821" s="163"/>
      <c r="M821" s="71" t="s">
        <v>106</v>
      </c>
      <c r="N821" s="302">
        <f>SUM(N818:N820)</f>
        <v>52.57</v>
      </c>
    </row>
    <row r="822" spans="2:18" ht="20.100000000000001" customHeight="1">
      <c r="D822" s="158"/>
      <c r="E822" s="159"/>
      <c r="F822" s="159"/>
      <c r="G822" s="173"/>
      <c r="H822" s="159"/>
      <c r="I822" s="163"/>
      <c r="J822" s="161"/>
      <c r="K822" s="161"/>
      <c r="L822" s="163"/>
      <c r="M822" s="161"/>
      <c r="N822" s="305"/>
    </row>
    <row r="823" spans="2:18" ht="20.100000000000001" customHeight="1">
      <c r="D823" s="527" t="s">
        <v>107</v>
      </c>
      <c r="E823" s="72" t="s">
        <v>2</v>
      </c>
      <c r="F823" s="73"/>
      <c r="G823" s="73"/>
      <c r="H823" s="74"/>
      <c r="I823" s="498" t="s">
        <v>108</v>
      </c>
      <c r="J823" s="499"/>
      <c r="K823" s="531" t="s">
        <v>103</v>
      </c>
      <c r="L823" s="514" t="s">
        <v>80</v>
      </c>
      <c r="M823" s="531" t="s">
        <v>109</v>
      </c>
      <c r="N823" s="529" t="s">
        <v>105</v>
      </c>
    </row>
    <row r="824" spans="2:18" ht="20.100000000000001" customHeight="1">
      <c r="D824" s="528"/>
      <c r="E824" s="512" t="s">
        <v>110</v>
      </c>
      <c r="F824" s="513"/>
      <c r="G824" s="512" t="s">
        <v>111</v>
      </c>
      <c r="H824" s="513"/>
      <c r="I824" s="500"/>
      <c r="J824" s="501"/>
      <c r="K824" s="532"/>
      <c r="L824" s="515"/>
      <c r="M824" s="532"/>
      <c r="N824" s="530"/>
    </row>
    <row r="825" spans="2:18" ht="21" customHeight="1">
      <c r="B825" s="260"/>
      <c r="D825" s="395">
        <f>IF(B825=0,0,VLOOKUP(B825,TRANS,3,FALSE))</f>
        <v>0</v>
      </c>
      <c r="E825" s="588">
        <f>IF(B825=0,0,VLOOKUP(B825,TRANS,5,FALSE))</f>
        <v>0</v>
      </c>
      <c r="F825" s="589"/>
      <c r="G825" s="590"/>
      <c r="H825" s="591"/>
      <c r="I825" s="588"/>
      <c r="J825" s="589">
        <v>50</v>
      </c>
      <c r="K825" s="386">
        <f>IF(B825=0,0,VLOOKUP(B825,TRANS,4,FALSE))</f>
        <v>0</v>
      </c>
      <c r="L825" s="387">
        <f>E825*I825</f>
        <v>0</v>
      </c>
      <c r="M825" s="387"/>
      <c r="N825" s="317">
        <f>ROUND(L825*M825,2)</f>
        <v>0</v>
      </c>
    </row>
    <row r="826" spans="2:18" ht="21" customHeight="1">
      <c r="B826" s="260"/>
      <c r="D826" s="268"/>
      <c r="E826" s="504"/>
      <c r="F826" s="505"/>
      <c r="G826" s="502"/>
      <c r="H826" s="503"/>
      <c r="I826" s="533"/>
      <c r="J826" s="534"/>
      <c r="K826" s="66"/>
      <c r="L826" s="67"/>
      <c r="M826" s="70"/>
      <c r="N826" s="317">
        <f>ROUND(L826*M826,2)</f>
        <v>0</v>
      </c>
    </row>
    <row r="827" spans="2:18" ht="21" customHeight="1">
      <c r="B827" s="260"/>
      <c r="D827" s="268"/>
      <c r="E827" s="504"/>
      <c r="F827" s="505"/>
      <c r="G827" s="502"/>
      <c r="H827" s="503"/>
      <c r="I827" s="533"/>
      <c r="J827" s="534"/>
      <c r="K827" s="66"/>
      <c r="L827" s="67"/>
      <c r="M827" s="70"/>
      <c r="N827" s="317">
        <f>ROUND(L827*M827,2)</f>
        <v>0</v>
      </c>
    </row>
    <row r="828" spans="2:18" ht="20.100000000000001" customHeight="1">
      <c r="D828" s="175"/>
      <c r="E828" s="176"/>
      <c r="F828" s="159"/>
      <c r="G828" s="173"/>
      <c r="H828" s="159"/>
      <c r="I828" s="163"/>
      <c r="J828" s="161"/>
      <c r="K828" s="161"/>
      <c r="L828" s="163"/>
      <c r="M828" s="71" t="s">
        <v>112</v>
      </c>
      <c r="N828" s="437">
        <f>SUM(N825:N827)</f>
        <v>0</v>
      </c>
    </row>
    <row r="829" spans="2:18" ht="3.95" customHeight="1" thickBot="1">
      <c r="D829" s="175"/>
      <c r="E829" s="159"/>
      <c r="F829" s="173"/>
      <c r="G829" s="159"/>
      <c r="H829" s="161"/>
      <c r="I829" s="163"/>
      <c r="J829" s="161"/>
      <c r="K829" s="161"/>
      <c r="L829" s="163"/>
      <c r="M829" s="161"/>
      <c r="N829" s="305"/>
    </row>
    <row r="830" spans="2:18" ht="20.100000000000001" customHeight="1">
      <c r="D830" s="177"/>
      <c r="E830" s="178"/>
      <c r="F830" s="178"/>
      <c r="G830" s="178"/>
      <c r="H830" s="179"/>
      <c r="I830" s="239"/>
      <c r="J830" s="127" t="s">
        <v>114</v>
      </c>
      <c r="K830" s="128"/>
      <c r="L830" s="306"/>
      <c r="M830" s="129">
        <v>0</v>
      </c>
      <c r="N830" s="447">
        <f>(+$N815+$N821+$N828)*M830</f>
        <v>0</v>
      </c>
    </row>
    <row r="831" spans="2:18" ht="20.100000000000001" customHeight="1" thickBot="1">
      <c r="D831" s="180"/>
      <c r="E831" s="181"/>
      <c r="F831" s="181"/>
      <c r="G831" s="181"/>
      <c r="H831" s="181"/>
      <c r="I831" s="240"/>
      <c r="J831" s="537" t="s">
        <v>149</v>
      </c>
      <c r="K831" s="538"/>
      <c r="L831" s="538"/>
      <c r="M831" s="538"/>
      <c r="N831" s="308">
        <f>+$N816+$N821+$N828+N830</f>
        <v>52.57</v>
      </c>
    </row>
    <row r="832" spans="2:18" ht="20.100000000000001" customHeight="1" thickBot="1">
      <c r="D832" s="182"/>
      <c r="E832" s="183"/>
      <c r="F832" s="183"/>
      <c r="G832" s="183"/>
      <c r="H832" s="183"/>
      <c r="I832" s="241"/>
      <c r="J832" s="184" t="s">
        <v>158</v>
      </c>
      <c r="K832" s="185"/>
      <c r="L832" s="309"/>
      <c r="M832" s="186">
        <v>0</v>
      </c>
      <c r="N832" s="310">
        <f>(M832*N831)+N831</f>
        <v>52.57</v>
      </c>
      <c r="O832" s="210"/>
      <c r="P832" s="16">
        <v>48.42</v>
      </c>
      <c r="R832" s="90">
        <f>(N832/P832)-1</f>
        <v>8.5708384964890527E-2</v>
      </c>
    </row>
    <row r="835" spans="2:21" ht="20.100000000000001" customHeight="1" thickBot="1"/>
    <row r="836" spans="2:21" ht="20.100000000000001" customHeight="1">
      <c r="D836" s="598" t="s">
        <v>448</v>
      </c>
      <c r="E836" s="599"/>
      <c r="F836" s="524" t="s">
        <v>74</v>
      </c>
      <c r="G836" s="525"/>
      <c r="H836" s="525"/>
      <c r="I836" s="525"/>
      <c r="J836" s="525"/>
      <c r="K836" s="525"/>
      <c r="L836" s="526"/>
      <c r="M836" s="19" t="s">
        <v>75</v>
      </c>
      <c r="N836" s="20" t="s">
        <v>76</v>
      </c>
      <c r="U836" s="132">
        <f>N872</f>
        <v>52.57</v>
      </c>
    </row>
    <row r="837" spans="2:21" ht="20.100000000000001" customHeight="1">
      <c r="D837" s="600"/>
      <c r="E837" s="601"/>
      <c r="F837" s="512" t="s">
        <v>449</v>
      </c>
      <c r="G837" s="519"/>
      <c r="H837" s="519"/>
      <c r="I837" s="519"/>
      <c r="J837" s="519"/>
      <c r="K837" s="519"/>
      <c r="L837" s="513"/>
      <c r="M837" s="24" t="s">
        <v>5</v>
      </c>
      <c r="N837" s="25">
        <f>DATA</f>
        <v>41214</v>
      </c>
    </row>
    <row r="838" spans="2:21" ht="20.100000000000001" customHeight="1">
      <c r="D838" s="26" t="s">
        <v>77</v>
      </c>
      <c r="E838" s="27"/>
      <c r="F838" s="27"/>
      <c r="G838" s="27"/>
      <c r="H838" s="28"/>
      <c r="I838" s="214" t="s">
        <v>78</v>
      </c>
      <c r="J838" s="509" t="s">
        <v>79</v>
      </c>
      <c r="K838" s="511"/>
      <c r="L838" s="535" t="s">
        <v>80</v>
      </c>
      <c r="M838" s="536"/>
      <c r="N838" s="516" t="s">
        <v>81</v>
      </c>
    </row>
    <row r="839" spans="2:21" ht="20.100000000000001" customHeight="1">
      <c r="D839" s="31"/>
      <c r="E839" s="32"/>
      <c r="F839" s="32"/>
      <c r="G839" s="32"/>
      <c r="H839" s="33"/>
      <c r="I839" s="34"/>
      <c r="J839" s="51" t="s">
        <v>82</v>
      </c>
      <c r="K839" s="51" t="s">
        <v>83</v>
      </c>
      <c r="L839" s="51" t="s">
        <v>82</v>
      </c>
      <c r="M839" s="51" t="s">
        <v>84</v>
      </c>
      <c r="N839" s="517"/>
    </row>
    <row r="840" spans="2:21" ht="20.100000000000001" customHeight="1">
      <c r="B840" s="260" t="s">
        <v>286</v>
      </c>
      <c r="D840" s="35" t="str">
        <f>IF(B840=0,0,VLOOKUP(B840,EQUIP,3,FALSE))</f>
        <v>CARREGADEIRA DE PNEUS - 3,1 m³ (127KW)</v>
      </c>
      <c r="E840" s="91"/>
      <c r="F840" s="91"/>
      <c r="G840" s="91"/>
      <c r="H840" s="92"/>
      <c r="I840" s="215">
        <v>1</v>
      </c>
      <c r="J840" s="38">
        <v>0.98</v>
      </c>
      <c r="K840" s="38">
        <f>1-J840</f>
        <v>2.0000000000000018E-2</v>
      </c>
      <c r="L840" s="215">
        <f>IF(B840=0,0,VLOOKUP(B840,EQUIP,6,FALSE))</f>
        <v>185.29</v>
      </c>
      <c r="M840" s="38">
        <f>IF(B840=0,0,VLOOKUP(B840,EQUIP,7,FALSE))</f>
        <v>22.39</v>
      </c>
      <c r="N840" s="269">
        <f>ROUND(J840*L840+K840*M840,2)</f>
        <v>182.03</v>
      </c>
    </row>
    <row r="841" spans="2:21" ht="20.100000000000001" customHeight="1">
      <c r="B841" s="260" t="s">
        <v>419</v>
      </c>
      <c r="D841" s="35" t="str">
        <f>IF(B841=0,0,VLOOKUP(B841,EQUIP,3,FALSE))</f>
        <v>USINA MISTURADORA DE SOLOS 350/600 T/H (99 KW)</v>
      </c>
      <c r="E841" s="36"/>
      <c r="F841" s="36"/>
      <c r="G841" s="36"/>
      <c r="H841" s="37"/>
      <c r="I841" s="215">
        <v>1</v>
      </c>
      <c r="J841" s="39">
        <v>1</v>
      </c>
      <c r="K841" s="38">
        <f>1-J841</f>
        <v>0</v>
      </c>
      <c r="L841" s="215">
        <f>IF(B841=0,0,VLOOKUP(B841,EQUIP,6,FALSE))</f>
        <v>93.95</v>
      </c>
      <c r="M841" s="38">
        <f>IF(B841=0,0,VLOOKUP(B841,EQUIP,7,FALSE))</f>
        <v>23.67</v>
      </c>
      <c r="N841" s="269">
        <f>ROUND(J841*L841+K841*M841,2)</f>
        <v>93.95</v>
      </c>
    </row>
    <row r="842" spans="2:21" ht="20.100000000000001" customHeight="1">
      <c r="B842" s="260" t="s">
        <v>393</v>
      </c>
      <c r="D842" s="35" t="str">
        <f>IF(B842=0,0,VLOOKUP(B842,EQUIP,3,FALSE))</f>
        <v>GRUPO GERADOR - 164/180 KVA (144kw)</v>
      </c>
      <c r="E842" s="91"/>
      <c r="F842" s="91"/>
      <c r="G842" s="91"/>
      <c r="H842" s="92"/>
      <c r="I842" s="215">
        <v>1</v>
      </c>
      <c r="J842" s="38">
        <v>1</v>
      </c>
      <c r="K842" s="38">
        <f>1-J842</f>
        <v>0</v>
      </c>
      <c r="L842" s="215">
        <f>IF(B842=0,0,VLOOKUP(B842,EQUIP,6,FALSE))</f>
        <v>87.45</v>
      </c>
      <c r="M842" s="38">
        <f>IF(B842=0,0,VLOOKUP(B842,EQUIP,7,FALSE))</f>
        <v>17.27</v>
      </c>
      <c r="N842" s="269">
        <f>ROUND(J842*L842+K842*M842,2)</f>
        <v>87.45</v>
      </c>
    </row>
    <row r="843" spans="2:21" ht="20.100000000000001" customHeight="1">
      <c r="B843" s="260"/>
      <c r="D843" s="264">
        <f>IF(B843=0,0,VLOOKUP(B843,EQUIP,3,FALSE))</f>
        <v>0</v>
      </c>
      <c r="E843" s="265"/>
      <c r="F843" s="265"/>
      <c r="G843" s="265"/>
      <c r="H843" s="266"/>
      <c r="I843" s="263"/>
      <c r="J843" s="318"/>
      <c r="K843" s="318"/>
      <c r="L843" s="318">
        <f>IF(B843=0,0,VLOOKUP(B843,EQUIP,6,FALSE))</f>
        <v>0</v>
      </c>
      <c r="M843" s="318">
        <f>IF(B843=0,0,VLOOKUP(B843,EQUIP,7,FALSE))</f>
        <v>0</v>
      </c>
      <c r="N843" s="319">
        <f>ROUND(J843*L843+K843*M843,2)</f>
        <v>0</v>
      </c>
    </row>
    <row r="844" spans="2:21" ht="20.100000000000001" customHeight="1">
      <c r="B844" s="260"/>
      <c r="D844" s="264">
        <f>IF(B844=0,0,VLOOKUP(B844,EQUIP,3,FALSE))</f>
        <v>0</v>
      </c>
      <c r="E844" s="265"/>
      <c r="F844" s="265"/>
      <c r="G844" s="265"/>
      <c r="H844" s="266"/>
      <c r="I844" s="318"/>
      <c r="J844" s="318"/>
      <c r="K844" s="318"/>
      <c r="L844" s="318">
        <f>IF(B844=0,0,VLOOKUP(B844,EQUIP,6,FALSE))</f>
        <v>0</v>
      </c>
      <c r="M844" s="318">
        <f>IF(B844=0,0,VLOOKUP(B844,EQUIP,7,FALSE))</f>
        <v>0</v>
      </c>
      <c r="N844" s="319">
        <f>ROUND(J844*L844+K844*M844,2)</f>
        <v>0</v>
      </c>
    </row>
    <row r="845" spans="2:21" ht="20.100000000000001" customHeight="1">
      <c r="D845" s="155"/>
      <c r="E845" s="156"/>
      <c r="F845" s="156"/>
      <c r="G845" s="156"/>
      <c r="H845" s="156"/>
      <c r="I845" s="235"/>
      <c r="J845" s="157"/>
      <c r="K845" s="157"/>
      <c r="L845" s="216"/>
      <c r="M845" s="42" t="s">
        <v>89</v>
      </c>
      <c r="N845" s="270">
        <f>SUM(N840:N844)</f>
        <v>363.43</v>
      </c>
    </row>
    <row r="846" spans="2:21" ht="3.95" customHeight="1">
      <c r="D846" s="158"/>
      <c r="E846" s="159"/>
      <c r="F846" s="159"/>
      <c r="G846" s="160"/>
      <c r="H846" s="159"/>
      <c r="I846" s="236"/>
      <c r="J846" s="161"/>
      <c r="K846" s="162"/>
      <c r="L846" s="163"/>
      <c r="M846" s="163"/>
      <c r="N846" s="300"/>
    </row>
    <row r="847" spans="2:21" ht="20.100000000000001" customHeight="1">
      <c r="D847" s="518" t="s">
        <v>90</v>
      </c>
      <c r="E847" s="519"/>
      <c r="F847" s="519"/>
      <c r="G847" s="519"/>
      <c r="H847" s="519"/>
      <c r="I847" s="519"/>
      <c r="J847" s="513"/>
      <c r="K847" s="50" t="s">
        <v>91</v>
      </c>
      <c r="L847" s="51" t="s">
        <v>92</v>
      </c>
      <c r="M847" s="51" t="s">
        <v>93</v>
      </c>
      <c r="N847" s="272" t="s">
        <v>94</v>
      </c>
    </row>
    <row r="848" spans="2:21" ht="20.100000000000001" customHeight="1">
      <c r="B848" s="260" t="s">
        <v>247</v>
      </c>
      <c r="D848" s="52" t="str">
        <f>IF(B848=0,0,VLOOKUP(B848,MO,2,FALSE))</f>
        <v>ENCARREGADO DE TURMA</v>
      </c>
      <c r="E848" s="53"/>
      <c r="F848" s="53"/>
      <c r="G848" s="53"/>
      <c r="H848" s="53"/>
      <c r="I848" s="36"/>
      <c r="J848" s="54"/>
      <c r="K848" s="152"/>
      <c r="L848" s="164">
        <v>1</v>
      </c>
      <c r="M848" s="55">
        <f>IF(B848=0,0,VLOOKUP(B848,MO,6,FALSE))</f>
        <v>27</v>
      </c>
      <c r="N848" s="301">
        <f>ROUND(L848*M848,2)</f>
        <v>27</v>
      </c>
    </row>
    <row r="849" spans="2:14" ht="20.100000000000001" customHeight="1">
      <c r="B849" s="260" t="s">
        <v>248</v>
      </c>
      <c r="D849" s="52" t="str">
        <f>IF(B849=0,0,VLOOKUP(B849,MO,2,FALSE))</f>
        <v>SERVENTE</v>
      </c>
      <c r="E849" s="53"/>
      <c r="F849" s="53"/>
      <c r="G849" s="53"/>
      <c r="H849" s="53"/>
      <c r="I849" s="36"/>
      <c r="J849" s="54"/>
      <c r="K849" s="152"/>
      <c r="L849" s="164">
        <v>5</v>
      </c>
      <c r="M849" s="55">
        <f>IF(B849=0,0,VLOOKUP(B849,MO,6,FALSE))</f>
        <v>7.9973000000000001</v>
      </c>
      <c r="N849" s="301">
        <f>ROUND(L849*M849,2)</f>
        <v>39.99</v>
      </c>
    </row>
    <row r="850" spans="2:14" ht="20.100000000000001" customHeight="1">
      <c r="B850" s="260"/>
      <c r="D850" s="52" t="s">
        <v>122</v>
      </c>
      <c r="E850" s="53"/>
      <c r="F850" s="53"/>
      <c r="G850" s="53"/>
      <c r="H850" s="53"/>
      <c r="I850" s="36"/>
      <c r="J850" s="54"/>
      <c r="K850" s="165">
        <v>0</v>
      </c>
      <c r="L850" s="166">
        <f>N848+N849</f>
        <v>66.990000000000009</v>
      </c>
      <c r="M850" s="164"/>
      <c r="N850" s="316">
        <f>ROUND(L850*K850,2)</f>
        <v>0</v>
      </c>
    </row>
    <row r="851" spans="2:14" ht="20.100000000000001" customHeight="1">
      <c r="D851" s="167"/>
      <c r="E851" s="59"/>
      <c r="F851" s="168"/>
      <c r="G851" s="168"/>
      <c r="H851" s="159"/>
      <c r="I851" s="236"/>
      <c r="J851" s="169"/>
      <c r="K851" s="162"/>
      <c r="L851" s="163"/>
      <c r="M851" s="62" t="s">
        <v>98</v>
      </c>
      <c r="N851" s="302">
        <f>SUM(N848:N850)</f>
        <v>66.990000000000009</v>
      </c>
    </row>
    <row r="852" spans="2:14" ht="3.95" customHeight="1">
      <c r="D852" s="158"/>
      <c r="E852" s="159"/>
      <c r="F852" s="159"/>
      <c r="G852" s="159"/>
      <c r="H852" s="159"/>
      <c r="I852" s="236"/>
      <c r="J852" s="169"/>
      <c r="K852" s="162"/>
      <c r="L852" s="163"/>
      <c r="M852" s="163"/>
      <c r="N852" s="300"/>
    </row>
    <row r="853" spans="2:14" ht="20.100000000000001" customHeight="1">
      <c r="D853" s="170"/>
      <c r="E853" s="168"/>
      <c r="F853" s="168"/>
      <c r="G853" s="168"/>
      <c r="H853" s="171"/>
      <c r="I853" s="237"/>
      <c r="J853" s="171"/>
      <c r="K853" s="509" t="s">
        <v>99</v>
      </c>
      <c r="L853" s="510"/>
      <c r="M853" s="511"/>
      <c r="N853" s="303">
        <f>+N845+N851</f>
        <v>430.42</v>
      </c>
    </row>
    <row r="854" spans="2:14" ht="3.95" customHeight="1">
      <c r="D854" s="172"/>
      <c r="E854" s="159"/>
      <c r="F854" s="159"/>
      <c r="G854" s="160"/>
      <c r="H854" s="159"/>
      <c r="I854" s="236"/>
      <c r="J854" s="161"/>
      <c r="K854" s="162"/>
      <c r="L854" s="163"/>
      <c r="M854" s="163"/>
      <c r="N854" s="300"/>
    </row>
    <row r="855" spans="2:14" ht="20.100000000000001" customHeight="1">
      <c r="D855" s="167"/>
      <c r="E855" s="509" t="s">
        <v>100</v>
      </c>
      <c r="F855" s="510"/>
      <c r="G855" s="510"/>
      <c r="H855" s="511"/>
      <c r="I855" s="238">
        <v>121</v>
      </c>
      <c r="J855" s="163"/>
      <c r="K855" s="506" t="s">
        <v>101</v>
      </c>
      <c r="L855" s="507"/>
      <c r="M855" s="508"/>
      <c r="N855" s="304">
        <f>ROUND(N853/I855,2)</f>
        <v>3.56</v>
      </c>
    </row>
    <row r="856" spans="2:14" ht="3.95" customHeight="1">
      <c r="D856" s="158"/>
      <c r="E856" s="159"/>
      <c r="F856" s="159"/>
      <c r="G856" s="173"/>
      <c r="H856" s="159"/>
      <c r="I856" s="163"/>
      <c r="J856" s="161"/>
      <c r="K856" s="161"/>
      <c r="L856" s="163"/>
      <c r="M856" s="161"/>
      <c r="N856" s="305"/>
    </row>
    <row r="857" spans="2:14" ht="20.100000000000001" customHeight="1">
      <c r="D857" s="49" t="s">
        <v>102</v>
      </c>
      <c r="E857" s="22"/>
      <c r="F857" s="22"/>
      <c r="G857" s="22"/>
      <c r="H857" s="22"/>
      <c r="I857" s="141"/>
      <c r="J857" s="23"/>
      <c r="K857" s="50" t="s">
        <v>103</v>
      </c>
      <c r="L857" s="51" t="s">
        <v>80</v>
      </c>
      <c r="M857" s="51" t="s">
        <v>104</v>
      </c>
      <c r="N857" s="272" t="s">
        <v>105</v>
      </c>
    </row>
    <row r="858" spans="2:14" ht="20.100000000000001" customHeight="1">
      <c r="B858" s="260" t="s">
        <v>305</v>
      </c>
      <c r="D858" s="52" t="str">
        <f>IF(B858=0,0,VLOOKUP(B858,MAT,3,FALSE))</f>
        <v>BRITA COMERCIAL</v>
      </c>
      <c r="E858" s="53"/>
      <c r="F858" s="53"/>
      <c r="G858" s="53"/>
      <c r="H858" s="53"/>
      <c r="I858" s="36"/>
      <c r="J858" s="54"/>
      <c r="K858" s="66" t="str">
        <f>IF(B858=0,0,VLOOKUP(B858,MAT,5,FALSE))</f>
        <v>M3</v>
      </c>
      <c r="L858" s="67">
        <f>IF(B858=0,0,VLOOKUP(B858,MAT,6,FALSE))</f>
        <v>30.630000000000003</v>
      </c>
      <c r="M858" s="174">
        <v>1.6</v>
      </c>
      <c r="N858" s="301">
        <f>ROUND(L858*M858,2)</f>
        <v>49.01</v>
      </c>
    </row>
    <row r="859" spans="2:14" ht="20.100000000000001" customHeight="1">
      <c r="B859" s="260"/>
      <c r="D859" s="52"/>
      <c r="E859" s="53"/>
      <c r="F859" s="53"/>
      <c r="G859" s="53"/>
      <c r="H859" s="53"/>
      <c r="I859" s="36"/>
      <c r="J859" s="54"/>
      <c r="K859" s="66"/>
      <c r="L859" s="211"/>
      <c r="M859" s="174"/>
      <c r="N859" s="316">
        <f>ROUND(L859*M859,2)</f>
        <v>0</v>
      </c>
    </row>
    <row r="860" spans="2:14" ht="20.100000000000001" customHeight="1">
      <c r="B860" s="260"/>
      <c r="D860" s="52"/>
      <c r="E860" s="53"/>
      <c r="F860" s="53"/>
      <c r="G860" s="53"/>
      <c r="H860" s="53"/>
      <c r="I860" s="36"/>
      <c r="J860" s="54"/>
      <c r="K860" s="66"/>
      <c r="L860" s="67"/>
      <c r="M860" s="174"/>
      <c r="N860" s="316">
        <f>ROUND(L860*M860,2)</f>
        <v>0</v>
      </c>
    </row>
    <row r="861" spans="2:14" ht="20.100000000000001" customHeight="1">
      <c r="D861" s="158"/>
      <c r="E861" s="159"/>
      <c r="F861" s="159"/>
      <c r="G861" s="173"/>
      <c r="H861" s="159"/>
      <c r="I861" s="163"/>
      <c r="J861" s="161"/>
      <c r="K861" s="161"/>
      <c r="L861" s="163"/>
      <c r="M861" s="71" t="s">
        <v>106</v>
      </c>
      <c r="N861" s="302">
        <f>SUM(N858:N860)</f>
        <v>49.01</v>
      </c>
    </row>
    <row r="862" spans="2:14" ht="20.100000000000001" customHeight="1">
      <c r="D862" s="158"/>
      <c r="E862" s="159"/>
      <c r="F862" s="159"/>
      <c r="G862" s="173"/>
      <c r="H862" s="159"/>
      <c r="I862" s="163"/>
      <c r="J862" s="161"/>
      <c r="K862" s="161"/>
      <c r="L862" s="163"/>
      <c r="M862" s="161"/>
      <c r="N862" s="305"/>
    </row>
    <row r="863" spans="2:14" ht="20.100000000000001" customHeight="1">
      <c r="D863" s="527" t="s">
        <v>107</v>
      </c>
      <c r="E863" s="72" t="s">
        <v>2</v>
      </c>
      <c r="F863" s="73"/>
      <c r="G863" s="73"/>
      <c r="H863" s="74"/>
      <c r="I863" s="498" t="s">
        <v>108</v>
      </c>
      <c r="J863" s="499"/>
      <c r="K863" s="531" t="s">
        <v>103</v>
      </c>
      <c r="L863" s="514" t="s">
        <v>80</v>
      </c>
      <c r="M863" s="531" t="s">
        <v>109</v>
      </c>
      <c r="N863" s="529" t="s">
        <v>105</v>
      </c>
    </row>
    <row r="864" spans="2:14" ht="20.100000000000001" customHeight="1">
      <c r="D864" s="528"/>
      <c r="E864" s="512" t="s">
        <v>110</v>
      </c>
      <c r="F864" s="513"/>
      <c r="G864" s="512" t="s">
        <v>111</v>
      </c>
      <c r="H864" s="513"/>
      <c r="I864" s="500"/>
      <c r="J864" s="501"/>
      <c r="K864" s="532"/>
      <c r="L864" s="515"/>
      <c r="M864" s="532"/>
      <c r="N864" s="530"/>
    </row>
    <row r="865" spans="2:21" ht="21" customHeight="1">
      <c r="B865" s="260"/>
      <c r="D865" s="268">
        <f>IF(B865=0,0,VLOOKUP(B865,TRANS,3,FALSE))</f>
        <v>0</v>
      </c>
      <c r="E865" s="581">
        <f>IF(B865=0,0,VLOOKUP(B865,TRANS,5,FALSE))</f>
        <v>0</v>
      </c>
      <c r="F865" s="582"/>
      <c r="G865" s="577"/>
      <c r="H865" s="578"/>
      <c r="I865" s="581"/>
      <c r="J865" s="582">
        <v>50</v>
      </c>
      <c r="K865" s="262">
        <f>IF(B865=0,0,VLOOKUP(B865,TRANS,4,FALSE))</f>
        <v>0</v>
      </c>
      <c r="L865" s="267">
        <f>E865*I865</f>
        <v>0</v>
      </c>
      <c r="M865" s="267"/>
      <c r="N865" s="317">
        <f>ROUND(L865*M865,2)</f>
        <v>0</v>
      </c>
    </row>
    <row r="866" spans="2:21" ht="21" customHeight="1">
      <c r="B866" s="260"/>
      <c r="D866" s="268">
        <f>IF(B866=0,0,VLOOKUP(B866,TRANS,3,FALSE))</f>
        <v>0</v>
      </c>
      <c r="E866" s="581">
        <f>IF(B866=0,0,VLOOKUP(B866,TRANS,5,FALSE))</f>
        <v>0</v>
      </c>
      <c r="F866" s="582"/>
      <c r="G866" s="577"/>
      <c r="H866" s="578"/>
      <c r="I866" s="581"/>
      <c r="J866" s="582">
        <v>10</v>
      </c>
      <c r="K866" s="262">
        <f>IF(B866=0,0,VLOOKUP(B866,TRANS,4,FALSE))</f>
        <v>0</v>
      </c>
      <c r="L866" s="267">
        <f>E866*I866</f>
        <v>0</v>
      </c>
      <c r="M866" s="267"/>
      <c r="N866" s="317">
        <f>ROUND(L866*M866,2)</f>
        <v>0</v>
      </c>
    </row>
    <row r="867" spans="2:21" ht="21" customHeight="1">
      <c r="B867" s="260"/>
      <c r="D867" s="268">
        <f>IF(B867=0,0,VLOOKUP(B867,TRANS,3,FALSE))</f>
        <v>0</v>
      </c>
      <c r="E867" s="581">
        <f>IF(B867=0,0,VLOOKUP(B867,TRANS,5,FALSE))</f>
        <v>0</v>
      </c>
      <c r="F867" s="582"/>
      <c r="G867" s="577"/>
      <c r="H867" s="578"/>
      <c r="I867" s="581"/>
      <c r="J867" s="582">
        <v>10</v>
      </c>
      <c r="K867" s="262">
        <f>IF(B867=0,0,VLOOKUP(B867,TRANS,4,FALSE))</f>
        <v>0</v>
      </c>
      <c r="L867" s="267">
        <f>E867*I867</f>
        <v>0</v>
      </c>
      <c r="M867" s="267"/>
      <c r="N867" s="317">
        <f>ROUND(L867*M867,2)</f>
        <v>0</v>
      </c>
    </row>
    <row r="868" spans="2:21" ht="20.100000000000001" customHeight="1">
      <c r="D868" s="175"/>
      <c r="E868" s="176"/>
      <c r="F868" s="159"/>
      <c r="G868" s="173"/>
      <c r="H868" s="159"/>
      <c r="I868" s="163"/>
      <c r="J868" s="161"/>
      <c r="K868" s="161"/>
      <c r="L868" s="163"/>
      <c r="M868" s="71" t="s">
        <v>112</v>
      </c>
      <c r="N868" s="437">
        <f>SUM(N865:N867)</f>
        <v>0</v>
      </c>
    </row>
    <row r="869" spans="2:21" ht="3.95" customHeight="1" thickBot="1">
      <c r="D869" s="175"/>
      <c r="E869" s="159"/>
      <c r="F869" s="173"/>
      <c r="G869" s="159"/>
      <c r="H869" s="161"/>
      <c r="I869" s="163"/>
      <c r="J869" s="161"/>
      <c r="K869" s="161"/>
      <c r="L869" s="163"/>
      <c r="M869" s="161"/>
      <c r="N869" s="305"/>
    </row>
    <row r="870" spans="2:21" ht="20.100000000000001" customHeight="1">
      <c r="D870" s="177"/>
      <c r="E870" s="178"/>
      <c r="F870" s="178"/>
      <c r="G870" s="178"/>
      <c r="H870" s="179"/>
      <c r="I870" s="239"/>
      <c r="J870" s="127" t="s">
        <v>114</v>
      </c>
      <c r="K870" s="128"/>
      <c r="L870" s="306"/>
      <c r="M870" s="129">
        <v>0</v>
      </c>
      <c r="N870" s="447">
        <f>(+$N855+$N861+$N868)*M870</f>
        <v>0</v>
      </c>
    </row>
    <row r="871" spans="2:21" ht="20.100000000000001" customHeight="1" thickBot="1">
      <c r="D871" s="180"/>
      <c r="E871" s="181"/>
      <c r="F871" s="181"/>
      <c r="G871" s="181"/>
      <c r="H871" s="181"/>
      <c r="I871" s="240"/>
      <c r="J871" s="537" t="s">
        <v>149</v>
      </c>
      <c r="K871" s="538"/>
      <c r="L871" s="538"/>
      <c r="M871" s="538"/>
      <c r="N871" s="308">
        <f>+$N855+$N861+$N868+N870</f>
        <v>52.57</v>
      </c>
    </row>
    <row r="872" spans="2:21" ht="20.100000000000001" customHeight="1" thickBot="1">
      <c r="D872" s="182"/>
      <c r="E872" s="183"/>
      <c r="F872" s="183"/>
      <c r="G872" s="183"/>
      <c r="H872" s="183"/>
      <c r="I872" s="241"/>
      <c r="J872" s="184" t="s">
        <v>158</v>
      </c>
      <c r="K872" s="185"/>
      <c r="L872" s="309"/>
      <c r="M872" s="186">
        <v>0</v>
      </c>
      <c r="N872" s="310">
        <f>(M872*N871)+N871</f>
        <v>52.57</v>
      </c>
      <c r="O872" s="210"/>
      <c r="P872" s="16">
        <v>48.42</v>
      </c>
      <c r="R872" s="90">
        <f>(N872/P872)-1</f>
        <v>8.5708384964890527E-2</v>
      </c>
    </row>
    <row r="875" spans="2:21" ht="20.100000000000001" customHeight="1" thickBot="1"/>
    <row r="876" spans="2:21" ht="20.100000000000001" customHeight="1">
      <c r="D876" s="598" t="s">
        <v>403</v>
      </c>
      <c r="E876" s="599"/>
      <c r="F876" s="524" t="s">
        <v>74</v>
      </c>
      <c r="G876" s="525"/>
      <c r="H876" s="525"/>
      <c r="I876" s="525"/>
      <c r="J876" s="525"/>
      <c r="K876" s="525"/>
      <c r="L876" s="526"/>
      <c r="M876" s="19" t="s">
        <v>75</v>
      </c>
      <c r="N876" s="20" t="s">
        <v>76</v>
      </c>
      <c r="U876" s="132">
        <f>N920</f>
        <v>22.26</v>
      </c>
    </row>
    <row r="877" spans="2:21" ht="20.100000000000001" customHeight="1">
      <c r="D877" s="600"/>
      <c r="E877" s="601"/>
      <c r="F877" s="512" t="str">
        <f>MAT!D33</f>
        <v>ESPALHAMENTO DE MATERIAL</v>
      </c>
      <c r="G877" s="519"/>
      <c r="H877" s="519"/>
      <c r="I877" s="519"/>
      <c r="J877" s="519"/>
      <c r="K877" s="519"/>
      <c r="L877" s="513"/>
      <c r="M877" s="24" t="s">
        <v>5</v>
      </c>
      <c r="N877" s="25">
        <f>DATA</f>
        <v>41214</v>
      </c>
    </row>
    <row r="878" spans="2:21" ht="20.100000000000001" customHeight="1">
      <c r="D878" s="26" t="s">
        <v>77</v>
      </c>
      <c r="E878" s="27"/>
      <c r="F878" s="27"/>
      <c r="G878" s="27"/>
      <c r="H878" s="28"/>
      <c r="I878" s="214" t="s">
        <v>78</v>
      </c>
      <c r="J878" s="509" t="s">
        <v>79</v>
      </c>
      <c r="K878" s="511"/>
      <c r="L878" s="535" t="s">
        <v>80</v>
      </c>
      <c r="M878" s="536"/>
      <c r="N878" s="516" t="s">
        <v>81</v>
      </c>
    </row>
    <row r="879" spans="2:21" ht="20.100000000000001" customHeight="1">
      <c r="D879" s="31"/>
      <c r="E879" s="32"/>
      <c r="F879" s="32"/>
      <c r="G879" s="32"/>
      <c r="H879" s="33"/>
      <c r="I879" s="34"/>
      <c r="J879" s="51" t="s">
        <v>82</v>
      </c>
      <c r="K879" s="51" t="s">
        <v>83</v>
      </c>
      <c r="L879" s="51" t="s">
        <v>82</v>
      </c>
      <c r="M879" s="51" t="s">
        <v>84</v>
      </c>
      <c r="N879" s="517"/>
    </row>
    <row r="880" spans="2:21" ht="20.100000000000001" customHeight="1">
      <c r="B880" s="260" t="s">
        <v>268</v>
      </c>
      <c r="D880" s="264" t="str">
        <f t="shared" ref="D880:D886" si="70">IF(B880=0,0,VLOOKUP(B880,EQUIP,3,FALSE))</f>
        <v>CARREGADEIRA DE PNEUS - 1,33 m³ (79kW)</v>
      </c>
      <c r="E880" s="265"/>
      <c r="F880" s="265"/>
      <c r="G880" s="265"/>
      <c r="H880" s="266"/>
      <c r="I880" s="318">
        <v>1</v>
      </c>
      <c r="J880" s="318">
        <v>0.51</v>
      </c>
      <c r="K880" s="318">
        <f>1-J880</f>
        <v>0.49</v>
      </c>
      <c r="L880" s="318">
        <f t="shared" ref="L880:L886" si="71">IF(B880=0,0,VLOOKUP(B880,EQUIP,6,FALSE))</f>
        <v>90.018789144050103</v>
      </c>
      <c r="M880" s="318">
        <f t="shared" ref="M880:M886" si="72">IF(B880=0,0,VLOOKUP(B880,EQUIP,7,FALSE))</f>
        <v>22.39</v>
      </c>
      <c r="N880" s="319">
        <f t="shared" ref="N880:N886" si="73">ROUND(I880*J880*L880+I880*K880*M880,2)</f>
        <v>56.88</v>
      </c>
    </row>
    <row r="881" spans="2:14" ht="20.100000000000001" customHeight="1">
      <c r="B881" s="260" t="s">
        <v>455</v>
      </c>
      <c r="D881" s="264" t="str">
        <f t="shared" si="70"/>
        <v>MARTELETE - PERFURATRIZ MANUAL</v>
      </c>
      <c r="E881" s="265"/>
      <c r="F881" s="265"/>
      <c r="G881" s="265"/>
      <c r="H881" s="266"/>
      <c r="I881" s="263">
        <v>4</v>
      </c>
      <c r="J881" s="263">
        <v>1</v>
      </c>
      <c r="K881" s="318">
        <f>1-J881</f>
        <v>0</v>
      </c>
      <c r="L881" s="318">
        <f t="shared" si="71"/>
        <v>16</v>
      </c>
      <c r="M881" s="318">
        <f t="shared" si="72"/>
        <v>15.355</v>
      </c>
      <c r="N881" s="319">
        <f t="shared" si="73"/>
        <v>64</v>
      </c>
    </row>
    <row r="882" spans="2:14" ht="20.100000000000001" customHeight="1">
      <c r="B882" s="260" t="s">
        <v>457</v>
      </c>
      <c r="D882" s="264" t="str">
        <f t="shared" si="70"/>
        <v>COMPRESSOR DE AR - PORTÁTIL 375 PCM (87 KW)</v>
      </c>
      <c r="E882" s="265"/>
      <c r="F882" s="265"/>
      <c r="G882" s="265"/>
      <c r="H882" s="266"/>
      <c r="I882" s="318">
        <v>1</v>
      </c>
      <c r="J882" s="318">
        <v>1</v>
      </c>
      <c r="K882" s="318">
        <f>1-J882</f>
        <v>0</v>
      </c>
      <c r="L882" s="318">
        <f t="shared" si="71"/>
        <v>63.64</v>
      </c>
      <c r="M882" s="318">
        <f t="shared" si="72"/>
        <v>17.27</v>
      </c>
      <c r="N882" s="319">
        <f t="shared" si="73"/>
        <v>63.64</v>
      </c>
    </row>
    <row r="883" spans="2:14" ht="20.100000000000001" customHeight="1">
      <c r="B883" s="260" t="s">
        <v>458</v>
      </c>
      <c r="D883" s="264" t="str">
        <f t="shared" si="70"/>
        <v>CAMINHÃO BASCULANTE 8m3 - 13 T (170 KW)</v>
      </c>
      <c r="E883" s="265"/>
      <c r="F883" s="265"/>
      <c r="G883" s="265"/>
      <c r="H883" s="266"/>
      <c r="I883" s="263">
        <v>1</v>
      </c>
      <c r="J883" s="263">
        <v>0.92</v>
      </c>
      <c r="K883" s="318">
        <f>1-J883</f>
        <v>7.999999999999996E-2</v>
      </c>
      <c r="L883" s="318">
        <f t="shared" si="71"/>
        <v>135.83000000000001</v>
      </c>
      <c r="M883" s="318">
        <f t="shared" si="72"/>
        <v>20.47</v>
      </c>
      <c r="N883" s="319">
        <f t="shared" si="73"/>
        <v>126.6</v>
      </c>
    </row>
    <row r="884" spans="2:14" ht="20.100000000000001" customHeight="1">
      <c r="B884" s="260"/>
      <c r="D884" s="264">
        <f t="shared" si="70"/>
        <v>0</v>
      </c>
      <c r="E884" s="265"/>
      <c r="F884" s="265"/>
      <c r="G884" s="265"/>
      <c r="H884" s="266"/>
      <c r="I884" s="263"/>
      <c r="J884" s="263"/>
      <c r="K884" s="318"/>
      <c r="L884" s="318">
        <f t="shared" si="71"/>
        <v>0</v>
      </c>
      <c r="M884" s="318">
        <f t="shared" si="72"/>
        <v>0</v>
      </c>
      <c r="N884" s="319">
        <f t="shared" si="73"/>
        <v>0</v>
      </c>
    </row>
    <row r="885" spans="2:14" ht="20.100000000000001" customHeight="1">
      <c r="B885" s="260"/>
      <c r="D885" s="264">
        <f t="shared" si="70"/>
        <v>0</v>
      </c>
      <c r="E885" s="265"/>
      <c r="F885" s="265"/>
      <c r="G885" s="265"/>
      <c r="H885" s="266"/>
      <c r="I885" s="263"/>
      <c r="J885" s="318"/>
      <c r="K885" s="318"/>
      <c r="L885" s="318">
        <f t="shared" si="71"/>
        <v>0</v>
      </c>
      <c r="M885" s="318">
        <f t="shared" si="72"/>
        <v>0</v>
      </c>
      <c r="N885" s="319">
        <f t="shared" si="73"/>
        <v>0</v>
      </c>
    </row>
    <row r="886" spans="2:14" ht="20.100000000000001" customHeight="1">
      <c r="B886" s="260"/>
      <c r="D886" s="264">
        <f t="shared" si="70"/>
        <v>0</v>
      </c>
      <c r="E886" s="265"/>
      <c r="F886" s="265"/>
      <c r="G886" s="265"/>
      <c r="H886" s="266"/>
      <c r="I886" s="263"/>
      <c r="J886" s="318"/>
      <c r="K886" s="318"/>
      <c r="L886" s="318">
        <f t="shared" si="71"/>
        <v>0</v>
      </c>
      <c r="M886" s="318">
        <f t="shared" si="72"/>
        <v>0</v>
      </c>
      <c r="N886" s="319">
        <f t="shared" si="73"/>
        <v>0</v>
      </c>
    </row>
    <row r="887" spans="2:14" ht="20.100000000000001" customHeight="1">
      <c r="D887" s="155"/>
      <c r="E887" s="156"/>
      <c r="F887" s="156"/>
      <c r="G887" s="156"/>
      <c r="H887" s="156"/>
      <c r="I887" s="235"/>
      <c r="J887" s="157"/>
      <c r="K887" s="157"/>
      <c r="L887" s="216"/>
      <c r="M887" s="42" t="s">
        <v>89</v>
      </c>
      <c r="N887" s="270">
        <f>SUM(N880:N886)</f>
        <v>311.12</v>
      </c>
    </row>
    <row r="888" spans="2:14" ht="3.95" customHeight="1">
      <c r="D888" s="158"/>
      <c r="E888" s="159"/>
      <c r="F888" s="159"/>
      <c r="G888" s="160"/>
      <c r="H888" s="159"/>
      <c r="I888" s="236"/>
      <c r="J888" s="161"/>
      <c r="K888" s="162"/>
      <c r="L888" s="163"/>
      <c r="M888" s="163"/>
      <c r="N888" s="300"/>
    </row>
    <row r="889" spans="2:14" ht="20.100000000000001" customHeight="1">
      <c r="D889" s="518" t="s">
        <v>90</v>
      </c>
      <c r="E889" s="519"/>
      <c r="F889" s="519"/>
      <c r="G889" s="519"/>
      <c r="H889" s="519"/>
      <c r="I889" s="519"/>
      <c r="J889" s="513"/>
      <c r="K889" s="50" t="s">
        <v>91</v>
      </c>
      <c r="L889" s="51" t="s">
        <v>92</v>
      </c>
      <c r="M889" s="51" t="s">
        <v>93</v>
      </c>
      <c r="N889" s="272" t="s">
        <v>94</v>
      </c>
    </row>
    <row r="890" spans="2:14" ht="20.100000000000001" customHeight="1">
      <c r="B890" s="260" t="s">
        <v>461</v>
      </c>
      <c r="D890" s="264" t="str">
        <f>IF(B890=0,0,VLOOKUP(B890,MO,2,FALSE))</f>
        <v>ENCARREGADO DE BRITAGEM</v>
      </c>
      <c r="E890" s="53"/>
      <c r="F890" s="53"/>
      <c r="G890" s="53"/>
      <c r="H890" s="53"/>
      <c r="I890" s="36"/>
      <c r="J890" s="54"/>
      <c r="K890" s="152"/>
      <c r="L890" s="164">
        <v>1</v>
      </c>
      <c r="M890" s="263">
        <f>IF(B890=0,0,VLOOKUP(B890,MO,6,FALSE))</f>
        <v>19.79</v>
      </c>
      <c r="N890" s="316">
        <f>ROUND(L890*M890,2)</f>
        <v>19.79</v>
      </c>
    </row>
    <row r="891" spans="2:14" ht="20.100000000000001" customHeight="1">
      <c r="B891" s="260" t="s">
        <v>462</v>
      </c>
      <c r="D891" s="264" t="str">
        <f>IF(B891=0,0,VLOOKUP(B891,MO,2,FALSE))</f>
        <v>BLASTER</v>
      </c>
      <c r="E891" s="53"/>
      <c r="F891" s="53"/>
      <c r="G891" s="53"/>
      <c r="H891" s="53"/>
      <c r="I891" s="36"/>
      <c r="J891" s="54"/>
      <c r="K891" s="152"/>
      <c r="L891" s="164">
        <v>1</v>
      </c>
      <c r="M891" s="263">
        <f>IF(B891=0,0,VLOOKUP(B891,MO,6,FALSE))</f>
        <v>13.05</v>
      </c>
      <c r="N891" s="316">
        <f>ROUND(L891*M891,2)</f>
        <v>13.05</v>
      </c>
    </row>
    <row r="892" spans="2:14" ht="20.100000000000001" customHeight="1">
      <c r="B892" s="260" t="s">
        <v>248</v>
      </c>
      <c r="D892" s="264" t="str">
        <f>IF(B892=0,0,VLOOKUP(B892,MO,2,FALSE))</f>
        <v>SERVENTE</v>
      </c>
      <c r="E892" s="53"/>
      <c r="F892" s="53"/>
      <c r="G892" s="53"/>
      <c r="H892" s="53"/>
      <c r="I892" s="36"/>
      <c r="J892" s="54"/>
      <c r="K892" s="152"/>
      <c r="L892" s="164">
        <v>1</v>
      </c>
      <c r="M892" s="263">
        <f>IF(B892=0,0,VLOOKUP(B892,MO,6,FALSE))</f>
        <v>7.9973000000000001</v>
      </c>
      <c r="N892" s="316">
        <f>ROUND(L892*M892,2)</f>
        <v>8</v>
      </c>
    </row>
    <row r="893" spans="2:14" ht="20.100000000000001" customHeight="1">
      <c r="B893" s="260"/>
      <c r="D893" s="52" t="s">
        <v>122</v>
      </c>
      <c r="E893" s="53"/>
      <c r="F893" s="53"/>
      <c r="G893" s="53"/>
      <c r="H893" s="53"/>
      <c r="I893" s="36"/>
      <c r="J893" s="54"/>
      <c r="K893" s="165">
        <v>0.05</v>
      </c>
      <c r="L893" s="320">
        <f>N890+N891</f>
        <v>32.840000000000003</v>
      </c>
      <c r="M893" s="164"/>
      <c r="N893" s="316">
        <f>ROUND(L893*K893,2)</f>
        <v>1.64</v>
      </c>
    </row>
    <row r="894" spans="2:14" ht="20.100000000000001" customHeight="1">
      <c r="D894" s="167"/>
      <c r="E894" s="59"/>
      <c r="F894" s="168"/>
      <c r="G894" s="168"/>
      <c r="H894" s="159"/>
      <c r="I894" s="236"/>
      <c r="J894" s="169"/>
      <c r="K894" s="162"/>
      <c r="L894" s="163"/>
      <c r="M894" s="62" t="s">
        <v>98</v>
      </c>
      <c r="N894" s="302">
        <f>SUM(N890:N893)</f>
        <v>42.480000000000004</v>
      </c>
    </row>
    <row r="895" spans="2:14" ht="3.95" customHeight="1">
      <c r="D895" s="158"/>
      <c r="E895" s="159"/>
      <c r="F895" s="159"/>
      <c r="G895" s="159"/>
      <c r="H895" s="159"/>
      <c r="I895" s="236"/>
      <c r="J895" s="169"/>
      <c r="K895" s="162"/>
      <c r="L895" s="163"/>
      <c r="M895" s="163"/>
      <c r="N895" s="300"/>
    </row>
    <row r="896" spans="2:14" ht="20.100000000000001" customHeight="1">
      <c r="D896" s="170"/>
      <c r="E896" s="168"/>
      <c r="F896" s="168"/>
      <c r="G896" s="168"/>
      <c r="H896" s="171"/>
      <c r="I896" s="237"/>
      <c r="J896" s="171"/>
      <c r="K896" s="509" t="s">
        <v>99</v>
      </c>
      <c r="L896" s="510"/>
      <c r="M896" s="511"/>
      <c r="N896" s="303">
        <f>+N887+N894</f>
        <v>353.6</v>
      </c>
    </row>
    <row r="897" spans="2:14" ht="3.95" customHeight="1">
      <c r="D897" s="172"/>
      <c r="E897" s="159"/>
      <c r="F897" s="159"/>
      <c r="G897" s="160"/>
      <c r="H897" s="159"/>
      <c r="I897" s="236"/>
      <c r="J897" s="161"/>
      <c r="K897" s="162"/>
      <c r="L897" s="163"/>
      <c r="M897" s="163"/>
      <c r="N897" s="300"/>
    </row>
    <row r="898" spans="2:14" ht="20.100000000000001" customHeight="1">
      <c r="D898" s="167"/>
      <c r="E898" s="509" t="s">
        <v>100</v>
      </c>
      <c r="F898" s="510"/>
      <c r="G898" s="510"/>
      <c r="H898" s="511"/>
      <c r="I898" s="238">
        <v>22</v>
      </c>
      <c r="J898" s="163"/>
      <c r="K898" s="506" t="s">
        <v>101</v>
      </c>
      <c r="L898" s="507"/>
      <c r="M898" s="508"/>
      <c r="N898" s="304">
        <f>ROUND(N896/I898,2)</f>
        <v>16.07</v>
      </c>
    </row>
    <row r="899" spans="2:14" ht="3.95" customHeight="1">
      <c r="D899" s="158"/>
      <c r="E899" s="159"/>
      <c r="F899" s="159"/>
      <c r="G899" s="173"/>
      <c r="H899" s="159"/>
      <c r="I899" s="163"/>
      <c r="J899" s="161"/>
      <c r="K899" s="161"/>
      <c r="L899" s="163"/>
      <c r="M899" s="161"/>
      <c r="N899" s="305"/>
    </row>
    <row r="900" spans="2:14" ht="20.100000000000001" customHeight="1">
      <c r="D900" s="49" t="s">
        <v>102</v>
      </c>
      <c r="E900" s="22"/>
      <c r="F900" s="22"/>
      <c r="G900" s="22"/>
      <c r="H900" s="22"/>
      <c r="I900" s="141"/>
      <c r="J900" s="23"/>
      <c r="K900" s="50" t="s">
        <v>103</v>
      </c>
      <c r="L900" s="51" t="s">
        <v>80</v>
      </c>
      <c r="M900" s="51" t="s">
        <v>104</v>
      </c>
      <c r="N900" s="272" t="s">
        <v>105</v>
      </c>
    </row>
    <row r="901" spans="2:14" ht="20.100000000000001" customHeight="1">
      <c r="B901" s="260" t="s">
        <v>471</v>
      </c>
      <c r="D901" s="264" t="str">
        <f t="shared" ref="D901:D909" si="74">IF(B901=0,0,VLOOKUP(B901,MAT,3,FALSE))</f>
        <v>SÉRIE DE BROCAS S-12 D=22MM</v>
      </c>
      <c r="E901" s="53"/>
      <c r="F901" s="53"/>
      <c r="G901" s="53"/>
      <c r="H901" s="53"/>
      <c r="I901" s="36"/>
      <c r="J901" s="54"/>
      <c r="K901" s="262" t="str">
        <f t="shared" ref="K901:K909" si="75">IF(B901=0,0,VLOOKUP(B901,MAT,5,FALSE))</f>
        <v>UNID.</v>
      </c>
      <c r="L901" s="267">
        <f t="shared" ref="L901:L909" si="76">IF(B901=0,0,VLOOKUP(B901,MAT,6,FALSE))</f>
        <v>524.01</v>
      </c>
      <c r="M901" s="174">
        <v>3.0000000000000001E-3</v>
      </c>
      <c r="N901" s="316">
        <f>ROUND(L901*M901,2)</f>
        <v>1.57</v>
      </c>
    </row>
    <row r="902" spans="2:14" ht="20.100000000000001" customHeight="1">
      <c r="B902" s="260" t="s">
        <v>472</v>
      </c>
      <c r="D902" s="264" t="str">
        <f t="shared" si="74"/>
        <v>DINAMITE A 60% (GELATINA ESPECIAL)</v>
      </c>
      <c r="E902" s="53"/>
      <c r="F902" s="53"/>
      <c r="G902" s="53"/>
      <c r="H902" s="53"/>
      <c r="I902" s="36"/>
      <c r="J902" s="54"/>
      <c r="K902" s="262" t="str">
        <f t="shared" si="75"/>
        <v>KG</v>
      </c>
      <c r="L902" s="267">
        <f t="shared" si="76"/>
        <v>5.3</v>
      </c>
      <c r="M902" s="174">
        <v>0.42</v>
      </c>
      <c r="N902" s="316">
        <f t="shared" ref="N902:N907" si="77">ROUND(L902*M902,2)</f>
        <v>2.23</v>
      </c>
    </row>
    <row r="903" spans="2:14" ht="20.100000000000001" customHeight="1">
      <c r="B903" s="260" t="s">
        <v>473</v>
      </c>
      <c r="D903" s="264" t="str">
        <f t="shared" si="74"/>
        <v>ESPOLETA COMUM N.8</v>
      </c>
      <c r="E903" s="53"/>
      <c r="F903" s="53"/>
      <c r="G903" s="53"/>
      <c r="H903" s="53"/>
      <c r="I903" s="36"/>
      <c r="J903" s="54"/>
      <c r="K903" s="262" t="str">
        <f t="shared" si="75"/>
        <v>UNID.</v>
      </c>
      <c r="L903" s="267">
        <f t="shared" si="76"/>
        <v>1</v>
      </c>
      <c r="M903" s="174">
        <v>1.2999999999999999E-2</v>
      </c>
      <c r="N903" s="316">
        <f t="shared" si="77"/>
        <v>0.01</v>
      </c>
    </row>
    <row r="904" spans="2:14" ht="20.100000000000001" customHeight="1">
      <c r="B904" s="260" t="s">
        <v>474</v>
      </c>
      <c r="D904" s="264" t="str">
        <f t="shared" si="74"/>
        <v>CORDEL DETONANTE NP 10</v>
      </c>
      <c r="E904" s="53"/>
      <c r="F904" s="53"/>
      <c r="G904" s="53"/>
      <c r="H904" s="53"/>
      <c r="I904" s="36"/>
      <c r="J904" s="54"/>
      <c r="K904" s="262" t="str">
        <f t="shared" si="75"/>
        <v>M</v>
      </c>
      <c r="L904" s="267">
        <f t="shared" si="76"/>
        <v>0.72</v>
      </c>
      <c r="M904" s="174">
        <v>0.8</v>
      </c>
      <c r="N904" s="316">
        <f t="shared" si="77"/>
        <v>0.57999999999999996</v>
      </c>
    </row>
    <row r="905" spans="2:14" ht="20.100000000000001" customHeight="1">
      <c r="B905" s="260" t="s">
        <v>475</v>
      </c>
      <c r="D905" s="264" t="str">
        <f t="shared" si="74"/>
        <v>RETARDADOR DE CORDEL</v>
      </c>
      <c r="E905" s="53"/>
      <c r="F905" s="53"/>
      <c r="G905" s="53"/>
      <c r="H905" s="53"/>
      <c r="I905" s="36"/>
      <c r="J905" s="54"/>
      <c r="K905" s="262" t="str">
        <f t="shared" si="75"/>
        <v>UNID.</v>
      </c>
      <c r="L905" s="267">
        <f t="shared" si="76"/>
        <v>10</v>
      </c>
      <c r="M905" s="174">
        <v>0.04</v>
      </c>
      <c r="N905" s="316">
        <f t="shared" si="77"/>
        <v>0.4</v>
      </c>
    </row>
    <row r="906" spans="2:14" ht="20.100000000000001" customHeight="1">
      <c r="B906" s="260" t="s">
        <v>476</v>
      </c>
      <c r="D906" s="264" t="str">
        <f t="shared" si="74"/>
        <v>ESTOPIM</v>
      </c>
      <c r="E906" s="53"/>
      <c r="F906" s="53"/>
      <c r="G906" s="53"/>
      <c r="H906" s="53"/>
      <c r="I906" s="36"/>
      <c r="J906" s="54"/>
      <c r="K906" s="262" t="str">
        <f t="shared" si="75"/>
        <v>M</v>
      </c>
      <c r="L906" s="267">
        <f t="shared" si="76"/>
        <v>1</v>
      </c>
      <c r="M906" s="174">
        <v>2.5000000000000001E-2</v>
      </c>
      <c r="N906" s="316">
        <f t="shared" si="77"/>
        <v>0.03</v>
      </c>
    </row>
    <row r="907" spans="2:14" ht="20.100000000000001" customHeight="1">
      <c r="B907" s="260" t="s">
        <v>401</v>
      </c>
      <c r="D907" s="264" t="str">
        <f t="shared" si="74"/>
        <v>INDENIZAÇÃO DE JAZIDA</v>
      </c>
      <c r="E907" s="53"/>
      <c r="F907" s="53"/>
      <c r="G907" s="53"/>
      <c r="H907" s="53"/>
      <c r="I907" s="36"/>
      <c r="J907" s="54"/>
      <c r="K907" s="262" t="str">
        <f t="shared" si="75"/>
        <v>M3</v>
      </c>
      <c r="L907" s="267">
        <f t="shared" si="76"/>
        <v>1.37</v>
      </c>
      <c r="M907" s="174">
        <v>1</v>
      </c>
      <c r="N907" s="316">
        <f t="shared" si="77"/>
        <v>1.37</v>
      </c>
    </row>
    <row r="908" spans="2:14" ht="20.100000000000001" customHeight="1">
      <c r="B908" s="260" t="s">
        <v>314</v>
      </c>
      <c r="D908" s="264" t="str">
        <f t="shared" si="74"/>
        <v>LIMPEZA DE CAMADA VEGETAL EM JAZIDA  (CONSV)</v>
      </c>
      <c r="E908" s="53"/>
      <c r="F908" s="53"/>
      <c r="G908" s="53"/>
      <c r="H908" s="53"/>
      <c r="I908" s="36"/>
      <c r="J908" s="54"/>
      <c r="K908" s="262" t="str">
        <f t="shared" si="75"/>
        <v>M2</v>
      </c>
      <c r="L908" s="267">
        <f t="shared" si="76"/>
        <v>0.41</v>
      </c>
      <c r="M908" s="174">
        <v>0.7</v>
      </c>
      <c r="N908" s="316">
        <f>ROUND(L908*M908,2)</f>
        <v>0.28999999999999998</v>
      </c>
    </row>
    <row r="909" spans="2:14" ht="20.100000000000001" customHeight="1">
      <c r="B909" s="260" t="s">
        <v>309</v>
      </c>
      <c r="D909" s="264" t="str">
        <f t="shared" si="74"/>
        <v>EXPURGO DE JAZIDA  (CONSV)</v>
      </c>
      <c r="E909" s="53"/>
      <c r="F909" s="53"/>
      <c r="G909" s="53"/>
      <c r="H909" s="53"/>
      <c r="I909" s="36"/>
      <c r="J909" s="54"/>
      <c r="K909" s="262" t="str">
        <f t="shared" si="75"/>
        <v>M3</v>
      </c>
      <c r="L909" s="267">
        <f t="shared" si="76"/>
        <v>6.34</v>
      </c>
      <c r="M909" s="174">
        <v>0.2</v>
      </c>
      <c r="N909" s="316">
        <f>ROUND(L909*M909,2)</f>
        <v>1.27</v>
      </c>
    </row>
    <row r="910" spans="2:14" ht="20.100000000000001" customHeight="1">
      <c r="D910" s="158"/>
      <c r="E910" s="159"/>
      <c r="F910" s="159"/>
      <c r="G910" s="173"/>
      <c r="H910" s="159"/>
      <c r="I910" s="163"/>
      <c r="J910" s="161"/>
      <c r="K910" s="161"/>
      <c r="L910" s="163"/>
      <c r="M910" s="71" t="s">
        <v>106</v>
      </c>
      <c r="N910" s="302">
        <f>SUM(N901:N907)</f>
        <v>6.19</v>
      </c>
    </row>
    <row r="911" spans="2:14" ht="20.100000000000001" customHeight="1">
      <c r="D911" s="158"/>
      <c r="E911" s="159"/>
      <c r="F911" s="159"/>
      <c r="G911" s="173"/>
      <c r="H911" s="159"/>
      <c r="I911" s="163"/>
      <c r="J911" s="161"/>
      <c r="K911" s="161"/>
      <c r="L911" s="163"/>
      <c r="M911" s="161"/>
      <c r="N911" s="305"/>
    </row>
    <row r="912" spans="2:14" ht="20.100000000000001" customHeight="1">
      <c r="D912" s="527" t="s">
        <v>107</v>
      </c>
      <c r="E912" s="72" t="s">
        <v>2</v>
      </c>
      <c r="F912" s="73"/>
      <c r="G912" s="73"/>
      <c r="H912" s="74"/>
      <c r="I912" s="498" t="s">
        <v>108</v>
      </c>
      <c r="J912" s="499"/>
      <c r="K912" s="531" t="s">
        <v>103</v>
      </c>
      <c r="L912" s="514" t="s">
        <v>80</v>
      </c>
      <c r="M912" s="531" t="s">
        <v>109</v>
      </c>
      <c r="N912" s="529" t="s">
        <v>105</v>
      </c>
    </row>
    <row r="913" spans="2:21" ht="20.100000000000001" customHeight="1">
      <c r="D913" s="528"/>
      <c r="E913" s="512" t="s">
        <v>110</v>
      </c>
      <c r="F913" s="513"/>
      <c r="G913" s="512" t="s">
        <v>111</v>
      </c>
      <c r="H913" s="513"/>
      <c r="I913" s="500"/>
      <c r="J913" s="501"/>
      <c r="K913" s="532"/>
      <c r="L913" s="515"/>
      <c r="M913" s="532"/>
      <c r="N913" s="530"/>
    </row>
    <row r="914" spans="2:21" ht="20.100000000000001" customHeight="1">
      <c r="B914" s="260"/>
      <c r="D914" s="261">
        <f>IF(B914=0,0,VLOOKUP(B914,TRANS,3,FALSE))</f>
        <v>0</v>
      </c>
      <c r="E914" s="581">
        <f>IF(B914=0,0,VLOOKUP(B914,TRANS,5,FALSE))</f>
        <v>0</v>
      </c>
      <c r="F914" s="582"/>
      <c r="G914" s="502"/>
      <c r="H914" s="503"/>
      <c r="I914" s="533"/>
      <c r="J914" s="534">
        <v>50</v>
      </c>
      <c r="K914" s="262">
        <f>IF(B914=0,0,VLOOKUP(B914,TRANS,4,FALSE))</f>
        <v>0</v>
      </c>
      <c r="L914" s="267">
        <f>E914*I914</f>
        <v>0</v>
      </c>
      <c r="M914" s="70"/>
      <c r="N914" s="317">
        <f>ROUND(L914*M914,2)</f>
        <v>0</v>
      </c>
    </row>
    <row r="915" spans="2:21" ht="20.100000000000001" customHeight="1">
      <c r="B915" s="260"/>
      <c r="D915" s="261"/>
      <c r="E915" s="504"/>
      <c r="F915" s="505"/>
      <c r="G915" s="502"/>
      <c r="H915" s="503"/>
      <c r="I915" s="533"/>
      <c r="J915" s="534"/>
      <c r="K915" s="66"/>
      <c r="L915" s="67"/>
      <c r="M915" s="70"/>
      <c r="N915" s="278"/>
    </row>
    <row r="916" spans="2:21" ht="20.100000000000001" customHeight="1">
      <c r="D916" s="175"/>
      <c r="E916" s="176"/>
      <c r="F916" s="159"/>
      <c r="G916" s="173"/>
      <c r="H916" s="159"/>
      <c r="I916" s="163"/>
      <c r="J916" s="161"/>
      <c r="K916" s="161"/>
      <c r="L916" s="163"/>
      <c r="M916" s="71" t="s">
        <v>112</v>
      </c>
      <c r="N916" s="437">
        <f>SUM(N914:N915)</f>
        <v>0</v>
      </c>
    </row>
    <row r="917" spans="2:21" ht="3.95" customHeight="1" thickBot="1">
      <c r="D917" s="175"/>
      <c r="E917" s="159"/>
      <c r="F917" s="173"/>
      <c r="G917" s="159"/>
      <c r="H917" s="161"/>
      <c r="I917" s="163"/>
      <c r="J917" s="161"/>
      <c r="K917" s="161"/>
      <c r="L917" s="163"/>
      <c r="M917" s="161"/>
      <c r="N917" s="305"/>
    </row>
    <row r="918" spans="2:21" ht="20.100000000000001" customHeight="1">
      <c r="D918" s="177"/>
      <c r="E918" s="178"/>
      <c r="F918" s="178"/>
      <c r="G918" s="178"/>
      <c r="H918" s="179"/>
      <c r="I918" s="239"/>
      <c r="J918" s="127" t="s">
        <v>114</v>
      </c>
      <c r="K918" s="128"/>
      <c r="L918" s="306"/>
      <c r="M918" s="129">
        <v>0</v>
      </c>
      <c r="N918" s="447">
        <f>(+$N898+$N910+$N916)*M918</f>
        <v>0</v>
      </c>
    </row>
    <row r="919" spans="2:21" ht="20.100000000000001" customHeight="1" thickBot="1">
      <c r="D919" s="180"/>
      <c r="E919" s="181"/>
      <c r="F919" s="181"/>
      <c r="G919" s="181"/>
      <c r="H919" s="181"/>
      <c r="I919" s="240"/>
      <c r="J919" s="537" t="s">
        <v>149</v>
      </c>
      <c r="K919" s="538"/>
      <c r="L919" s="538"/>
      <c r="M919" s="538"/>
      <c r="N919" s="308">
        <f>+$N898+$N910+$N916+N918</f>
        <v>22.26</v>
      </c>
    </row>
    <row r="920" spans="2:21" ht="20.100000000000001" customHeight="1" thickBot="1">
      <c r="D920" s="182"/>
      <c r="E920" s="183"/>
      <c r="F920" s="183"/>
      <c r="G920" s="183"/>
      <c r="H920" s="183"/>
      <c r="I920" s="241"/>
      <c r="J920" s="184" t="s">
        <v>158</v>
      </c>
      <c r="K920" s="185"/>
      <c r="L920" s="309"/>
      <c r="M920" s="186">
        <v>0</v>
      </c>
      <c r="N920" s="310">
        <f>(M920*N919)+N919</f>
        <v>22.26</v>
      </c>
      <c r="O920" s="210"/>
      <c r="P920" s="16">
        <v>48.42</v>
      </c>
      <c r="R920" s="90">
        <f>(N920/P920)-1</f>
        <v>-0.540272614622057</v>
      </c>
    </row>
    <row r="923" spans="2:21" ht="20.100000000000001" customHeight="1" thickBot="1"/>
    <row r="924" spans="2:21" ht="20.100000000000001" customHeight="1">
      <c r="D924" s="598" t="s">
        <v>452</v>
      </c>
      <c r="E924" s="599"/>
      <c r="F924" s="524" t="s">
        <v>74</v>
      </c>
      <c r="G924" s="525"/>
      <c r="H924" s="525"/>
      <c r="I924" s="525"/>
      <c r="J924" s="525"/>
      <c r="K924" s="525"/>
      <c r="L924" s="526"/>
      <c r="M924" s="19" t="s">
        <v>75</v>
      </c>
      <c r="N924" s="20" t="s">
        <v>76</v>
      </c>
      <c r="U924" s="132">
        <f>N971</f>
        <v>20.52</v>
      </c>
    </row>
    <row r="925" spans="2:21" ht="20.100000000000001" customHeight="1">
      <c r="D925" s="600"/>
      <c r="E925" s="601"/>
      <c r="F925" s="512">
        <f>MAT!D76</f>
        <v>0</v>
      </c>
      <c r="G925" s="519"/>
      <c r="H925" s="519"/>
      <c r="I925" s="519"/>
      <c r="J925" s="519"/>
      <c r="K925" s="519"/>
      <c r="L925" s="513"/>
      <c r="M925" s="24" t="s">
        <v>5</v>
      </c>
      <c r="N925" s="25">
        <f>DATA</f>
        <v>41214</v>
      </c>
    </row>
    <row r="926" spans="2:21" ht="20.100000000000001" customHeight="1">
      <c r="D926" s="26" t="s">
        <v>77</v>
      </c>
      <c r="E926" s="27"/>
      <c r="F926" s="27"/>
      <c r="G926" s="27"/>
      <c r="H926" s="28"/>
      <c r="I926" s="214" t="s">
        <v>78</v>
      </c>
      <c r="J926" s="509" t="s">
        <v>79</v>
      </c>
      <c r="K926" s="511"/>
      <c r="L926" s="535" t="s">
        <v>80</v>
      </c>
      <c r="M926" s="536"/>
      <c r="N926" s="516" t="s">
        <v>81</v>
      </c>
    </row>
    <row r="927" spans="2:21" ht="20.100000000000001" customHeight="1">
      <c r="D927" s="31"/>
      <c r="E927" s="32"/>
      <c r="F927" s="32"/>
      <c r="G927" s="32"/>
      <c r="H927" s="33"/>
      <c r="I927" s="34"/>
      <c r="J927" s="51" t="s">
        <v>82</v>
      </c>
      <c r="K927" s="51" t="s">
        <v>83</v>
      </c>
      <c r="L927" s="51" t="s">
        <v>82</v>
      </c>
      <c r="M927" s="51" t="s">
        <v>84</v>
      </c>
      <c r="N927" s="517"/>
    </row>
    <row r="928" spans="2:21" ht="20.100000000000001" customHeight="1">
      <c r="B928" s="260" t="s">
        <v>286</v>
      </c>
      <c r="D928" s="264" t="str">
        <f t="shared" ref="D928:D934" si="78">IF(B928=0,0,VLOOKUP(B928,EQUIP,3,FALSE))</f>
        <v>CARREGADEIRA DE PNEUS - 3,1 m³ (127KW)</v>
      </c>
      <c r="E928" s="265"/>
      <c r="F928" s="265"/>
      <c r="G928" s="265"/>
      <c r="H928" s="266"/>
      <c r="I928" s="318">
        <v>1</v>
      </c>
      <c r="J928" s="318">
        <v>0.35</v>
      </c>
      <c r="K928" s="318">
        <f>1-J928</f>
        <v>0.65</v>
      </c>
      <c r="L928" s="318">
        <f t="shared" ref="L928:L934" si="79">IF(B928=0,0,VLOOKUP(B928,EQUIP,6,FALSE))</f>
        <v>185.29</v>
      </c>
      <c r="M928" s="318">
        <f t="shared" ref="M928:M934" si="80">IF(B928=0,0,VLOOKUP(B928,EQUIP,7,FALSE))</f>
        <v>22.39</v>
      </c>
      <c r="N928" s="319">
        <f t="shared" ref="N928:N934" si="81">ROUND(I928*J928*L928+I928*K928*M928,2)</f>
        <v>79.41</v>
      </c>
    </row>
    <row r="929" spans="2:14" ht="20.100000000000001" customHeight="1">
      <c r="B929" s="260" t="s">
        <v>483</v>
      </c>
      <c r="D929" s="264" t="str">
        <f t="shared" si="78"/>
        <v>COMPRESSOR DE AR - PORTÁTIL 764 PCM (200 KW)</v>
      </c>
      <c r="E929" s="265"/>
      <c r="F929" s="265"/>
      <c r="G929" s="265"/>
      <c r="H929" s="266"/>
      <c r="I929" s="263">
        <v>1</v>
      </c>
      <c r="J929" s="263">
        <v>1</v>
      </c>
      <c r="K929" s="318">
        <f>1-J929</f>
        <v>0</v>
      </c>
      <c r="L929" s="318">
        <f t="shared" si="79"/>
        <v>104.97</v>
      </c>
      <c r="M929" s="318">
        <f t="shared" si="80"/>
        <v>17.27</v>
      </c>
      <c r="N929" s="319">
        <f t="shared" si="81"/>
        <v>104.97</v>
      </c>
    </row>
    <row r="930" spans="2:14" ht="20.100000000000001" customHeight="1">
      <c r="B930" s="260" t="s">
        <v>455</v>
      </c>
      <c r="D930" s="264" t="str">
        <f t="shared" si="78"/>
        <v>MARTELETE - PERFURATRIZ MANUAL</v>
      </c>
      <c r="E930" s="265"/>
      <c r="F930" s="265"/>
      <c r="G930" s="265"/>
      <c r="H930" s="266"/>
      <c r="I930" s="318">
        <v>1</v>
      </c>
      <c r="J930" s="318">
        <v>1</v>
      </c>
      <c r="K930" s="318">
        <f>1-J930</f>
        <v>0</v>
      </c>
      <c r="L930" s="318">
        <f t="shared" si="79"/>
        <v>16</v>
      </c>
      <c r="M930" s="318">
        <f t="shared" si="80"/>
        <v>15.355</v>
      </c>
      <c r="N930" s="319">
        <f t="shared" si="81"/>
        <v>16</v>
      </c>
    </row>
    <row r="931" spans="2:14" ht="20.100000000000001" customHeight="1">
      <c r="B931" s="260" t="s">
        <v>484</v>
      </c>
      <c r="D931" s="264" t="str">
        <f t="shared" si="78"/>
        <v>PERFURATRIZ SOBRE ESTEIRAS - CRAWLER DRILL</v>
      </c>
      <c r="E931" s="265"/>
      <c r="F931" s="265"/>
      <c r="G931" s="265"/>
      <c r="H931" s="266"/>
      <c r="I931" s="263">
        <v>1</v>
      </c>
      <c r="J931" s="263">
        <v>1</v>
      </c>
      <c r="K931" s="318">
        <f>1-J931</f>
        <v>0</v>
      </c>
      <c r="L931" s="318">
        <f t="shared" si="79"/>
        <v>55.94</v>
      </c>
      <c r="M931" s="318">
        <f t="shared" si="80"/>
        <v>17.27</v>
      </c>
      <c r="N931" s="319">
        <f t="shared" si="81"/>
        <v>55.94</v>
      </c>
    </row>
    <row r="932" spans="2:14" ht="20.100000000000001" customHeight="1">
      <c r="B932" s="260" t="s">
        <v>485</v>
      </c>
      <c r="D932" s="264" t="str">
        <f t="shared" si="78"/>
        <v>CAMINHÃO BASCULANTE - PARA ROCHA 18T (235KW)</v>
      </c>
      <c r="E932" s="265"/>
      <c r="F932" s="265"/>
      <c r="G932" s="265"/>
      <c r="H932" s="266"/>
      <c r="I932" s="263">
        <v>1</v>
      </c>
      <c r="J932" s="263">
        <v>1</v>
      </c>
      <c r="K932" s="318">
        <f>1-J932</f>
        <v>0</v>
      </c>
      <c r="L932" s="318">
        <f t="shared" si="79"/>
        <v>186.74</v>
      </c>
      <c r="M932" s="318">
        <f t="shared" si="80"/>
        <v>20.47</v>
      </c>
      <c r="N932" s="319">
        <f t="shared" si="81"/>
        <v>186.74</v>
      </c>
    </row>
    <row r="933" spans="2:14" ht="20.100000000000001" customHeight="1">
      <c r="B933" s="260"/>
      <c r="D933" s="264">
        <f t="shared" si="78"/>
        <v>0</v>
      </c>
      <c r="E933" s="265"/>
      <c r="F933" s="265"/>
      <c r="G933" s="265"/>
      <c r="H933" s="266"/>
      <c r="I933" s="263"/>
      <c r="J933" s="318"/>
      <c r="K933" s="318"/>
      <c r="L933" s="318">
        <f t="shared" si="79"/>
        <v>0</v>
      </c>
      <c r="M933" s="318">
        <f t="shared" si="80"/>
        <v>0</v>
      </c>
      <c r="N933" s="319">
        <f t="shared" si="81"/>
        <v>0</v>
      </c>
    </row>
    <row r="934" spans="2:14" ht="20.100000000000001" customHeight="1">
      <c r="B934" s="260"/>
      <c r="D934" s="264">
        <f t="shared" si="78"/>
        <v>0</v>
      </c>
      <c r="E934" s="265"/>
      <c r="F934" s="265"/>
      <c r="G934" s="265"/>
      <c r="H934" s="266"/>
      <c r="I934" s="263"/>
      <c r="J934" s="318"/>
      <c r="K934" s="318"/>
      <c r="L934" s="318">
        <f t="shared" si="79"/>
        <v>0</v>
      </c>
      <c r="M934" s="318">
        <f t="shared" si="80"/>
        <v>0</v>
      </c>
      <c r="N934" s="319">
        <f t="shared" si="81"/>
        <v>0</v>
      </c>
    </row>
    <row r="935" spans="2:14" ht="20.100000000000001" customHeight="1">
      <c r="D935" s="155"/>
      <c r="E935" s="156"/>
      <c r="F935" s="156"/>
      <c r="G935" s="156"/>
      <c r="H935" s="156"/>
      <c r="I935" s="235"/>
      <c r="J935" s="157"/>
      <c r="K935" s="157"/>
      <c r="L935" s="216"/>
      <c r="M935" s="42" t="s">
        <v>89</v>
      </c>
      <c r="N935" s="270">
        <f>SUM(N928:N934)</f>
        <v>443.06</v>
      </c>
    </row>
    <row r="936" spans="2:14" ht="3.95" customHeight="1">
      <c r="D936" s="158"/>
      <c r="E936" s="159"/>
      <c r="F936" s="159"/>
      <c r="G936" s="160"/>
      <c r="H936" s="159"/>
      <c r="I936" s="236"/>
      <c r="J936" s="161"/>
      <c r="K936" s="162"/>
      <c r="L936" s="163"/>
      <c r="M936" s="163"/>
      <c r="N936" s="300"/>
    </row>
    <row r="937" spans="2:14" ht="20.100000000000001" customHeight="1">
      <c r="D937" s="518" t="s">
        <v>90</v>
      </c>
      <c r="E937" s="519"/>
      <c r="F937" s="519"/>
      <c r="G937" s="519"/>
      <c r="H937" s="519"/>
      <c r="I937" s="519"/>
      <c r="J937" s="513"/>
      <c r="K937" s="50" t="s">
        <v>91</v>
      </c>
      <c r="L937" s="51" t="s">
        <v>92</v>
      </c>
      <c r="M937" s="51" t="s">
        <v>93</v>
      </c>
      <c r="N937" s="272" t="s">
        <v>94</v>
      </c>
    </row>
    <row r="938" spans="2:14" ht="20.100000000000001" customHeight="1">
      <c r="B938" s="260" t="s">
        <v>461</v>
      </c>
      <c r="D938" s="264" t="str">
        <f>IF(B938=0,0,VLOOKUP(B938,MO,2,FALSE))</f>
        <v>ENCARREGADO DE BRITAGEM</v>
      </c>
      <c r="E938" s="53"/>
      <c r="F938" s="53"/>
      <c r="G938" s="53"/>
      <c r="H938" s="53"/>
      <c r="I938" s="36"/>
      <c r="J938" s="54"/>
      <c r="K938" s="152"/>
      <c r="L938" s="164">
        <v>1</v>
      </c>
      <c r="M938" s="263">
        <f>IF(B938=0,0,VLOOKUP(B938,MO,6,FALSE))</f>
        <v>19.79</v>
      </c>
      <c r="N938" s="316">
        <f>ROUND(L938*M938,2)</f>
        <v>19.79</v>
      </c>
    </row>
    <row r="939" spans="2:14" ht="20.100000000000001" customHeight="1">
      <c r="B939" s="260" t="s">
        <v>462</v>
      </c>
      <c r="D939" s="264" t="str">
        <f>IF(B939=0,0,VLOOKUP(B939,MO,2,FALSE))</f>
        <v>BLASTER</v>
      </c>
      <c r="E939" s="53"/>
      <c r="F939" s="53"/>
      <c r="G939" s="53"/>
      <c r="H939" s="53"/>
      <c r="I939" s="36"/>
      <c r="J939" s="54"/>
      <c r="K939" s="152"/>
      <c r="L939" s="164">
        <v>1</v>
      </c>
      <c r="M939" s="263">
        <f>IF(B939=0,0,VLOOKUP(B939,MO,6,FALSE))</f>
        <v>13.05</v>
      </c>
      <c r="N939" s="316">
        <f>ROUND(L939*M939,2)</f>
        <v>13.05</v>
      </c>
    </row>
    <row r="940" spans="2:14" ht="20.100000000000001" customHeight="1">
      <c r="B940" s="260" t="s">
        <v>248</v>
      </c>
      <c r="D940" s="264" t="str">
        <f>IF(B940=0,0,VLOOKUP(B940,MO,2,FALSE))</f>
        <v>SERVENTE</v>
      </c>
      <c r="E940" s="53"/>
      <c r="F940" s="53"/>
      <c r="G940" s="53"/>
      <c r="H940" s="53"/>
      <c r="I940" s="36"/>
      <c r="J940" s="54"/>
      <c r="K940" s="152"/>
      <c r="L940" s="164">
        <v>1</v>
      </c>
      <c r="M940" s="263">
        <f>IF(B940=0,0,VLOOKUP(B940,MO,6,FALSE))</f>
        <v>7.9973000000000001</v>
      </c>
      <c r="N940" s="316">
        <f>ROUND(L940*M940,2)</f>
        <v>8</v>
      </c>
    </row>
    <row r="941" spans="2:14" ht="20.100000000000001" customHeight="1">
      <c r="B941" s="260"/>
      <c r="D941" s="52" t="s">
        <v>122</v>
      </c>
      <c r="E941" s="53"/>
      <c r="F941" s="53"/>
      <c r="G941" s="53"/>
      <c r="H941" s="53"/>
      <c r="I941" s="36"/>
      <c r="J941" s="54"/>
      <c r="K941" s="165">
        <v>0</v>
      </c>
      <c r="L941" s="320">
        <f>N938+N939</f>
        <v>32.840000000000003</v>
      </c>
      <c r="M941" s="164"/>
      <c r="N941" s="316">
        <f>ROUND(L941*K941,2)</f>
        <v>0</v>
      </c>
    </row>
    <row r="942" spans="2:14" ht="20.100000000000001" customHeight="1">
      <c r="D942" s="167"/>
      <c r="E942" s="59"/>
      <c r="F942" s="168"/>
      <c r="G942" s="168"/>
      <c r="H942" s="159"/>
      <c r="I942" s="236"/>
      <c r="J942" s="169"/>
      <c r="K942" s="162"/>
      <c r="L942" s="163"/>
      <c r="M942" s="62" t="s">
        <v>98</v>
      </c>
      <c r="N942" s="302">
        <f>SUM(N938:N941)</f>
        <v>40.840000000000003</v>
      </c>
    </row>
    <row r="943" spans="2:14" ht="3.95" customHeight="1">
      <c r="D943" s="158"/>
      <c r="E943" s="159"/>
      <c r="F943" s="159"/>
      <c r="G943" s="159"/>
      <c r="H943" s="159"/>
      <c r="I943" s="236"/>
      <c r="J943" s="169"/>
      <c r="K943" s="162"/>
      <c r="L943" s="163"/>
      <c r="M943" s="163"/>
      <c r="N943" s="300"/>
    </row>
    <row r="944" spans="2:14" ht="20.100000000000001" customHeight="1">
      <c r="D944" s="170"/>
      <c r="E944" s="168"/>
      <c r="F944" s="168"/>
      <c r="G944" s="168"/>
      <c r="H944" s="171"/>
      <c r="I944" s="237"/>
      <c r="J944" s="171"/>
      <c r="K944" s="509" t="s">
        <v>99</v>
      </c>
      <c r="L944" s="510"/>
      <c r="M944" s="511"/>
      <c r="N944" s="303">
        <f>+N935+N942</f>
        <v>483.9</v>
      </c>
    </row>
    <row r="945" spans="2:14" ht="3.95" customHeight="1">
      <c r="D945" s="172"/>
      <c r="E945" s="159"/>
      <c r="F945" s="159"/>
      <c r="G945" s="160"/>
      <c r="H945" s="159"/>
      <c r="I945" s="236"/>
      <c r="J945" s="161"/>
      <c r="K945" s="162"/>
      <c r="L945" s="163"/>
      <c r="M945" s="163"/>
      <c r="N945" s="300"/>
    </row>
    <row r="946" spans="2:14" ht="20.100000000000001" customHeight="1">
      <c r="D946" s="167"/>
      <c r="E946" s="509" t="s">
        <v>100</v>
      </c>
      <c r="F946" s="510"/>
      <c r="G946" s="510"/>
      <c r="H946" s="511"/>
      <c r="I946" s="238">
        <v>36</v>
      </c>
      <c r="J946" s="163"/>
      <c r="K946" s="506" t="s">
        <v>101</v>
      </c>
      <c r="L946" s="507"/>
      <c r="M946" s="508"/>
      <c r="N946" s="304">
        <f>ROUND(N944/I946,2)</f>
        <v>13.44</v>
      </c>
    </row>
    <row r="947" spans="2:14" ht="3.95" customHeight="1">
      <c r="D947" s="158"/>
      <c r="E947" s="159"/>
      <c r="F947" s="159"/>
      <c r="G947" s="173"/>
      <c r="H947" s="159"/>
      <c r="I947" s="163"/>
      <c r="J947" s="161"/>
      <c r="K947" s="161"/>
      <c r="L947" s="163"/>
      <c r="M947" s="161"/>
      <c r="N947" s="305"/>
    </row>
    <row r="948" spans="2:14" ht="20.100000000000001" customHeight="1">
      <c r="D948" s="49" t="s">
        <v>102</v>
      </c>
      <c r="E948" s="22"/>
      <c r="F948" s="22"/>
      <c r="G948" s="22"/>
      <c r="H948" s="22"/>
      <c r="I948" s="141"/>
      <c r="J948" s="23"/>
      <c r="K948" s="50" t="s">
        <v>103</v>
      </c>
      <c r="L948" s="51" t="s">
        <v>80</v>
      </c>
      <c r="M948" s="51" t="s">
        <v>104</v>
      </c>
      <c r="N948" s="272" t="s">
        <v>105</v>
      </c>
    </row>
    <row r="949" spans="2:14" ht="20.100000000000001" customHeight="1">
      <c r="B949" s="260" t="s">
        <v>471</v>
      </c>
      <c r="D949" s="264" t="str">
        <f t="shared" ref="D949:D960" si="82">IF(B949=0,0,VLOOKUP(B949,MAT,3,FALSE))</f>
        <v>SÉRIE DE BROCAS S-12 D=22MM</v>
      </c>
      <c r="E949" s="53"/>
      <c r="F949" s="53"/>
      <c r="G949" s="53"/>
      <c r="H949" s="53"/>
      <c r="I949" s="36"/>
      <c r="J949" s="54"/>
      <c r="K949" s="262" t="str">
        <f t="shared" ref="K949:K960" si="83">IF(B949=0,0,VLOOKUP(B949,MAT,5,FALSE))</f>
        <v>UNID.</v>
      </c>
      <c r="L949" s="267">
        <f t="shared" ref="L949:L960" si="84">IF(B949=0,0,VLOOKUP(B949,MAT,6,FALSE))</f>
        <v>524.01</v>
      </c>
      <c r="M949" s="174">
        <v>8.0000000000000004E-4</v>
      </c>
      <c r="N949" s="316">
        <f>ROUND(L949*M949,2)</f>
        <v>0.42</v>
      </c>
    </row>
    <row r="950" spans="2:14" ht="20.100000000000001" customHeight="1">
      <c r="B950" s="260" t="s">
        <v>472</v>
      </c>
      <c r="D950" s="264" t="str">
        <f t="shared" si="82"/>
        <v>DINAMITE A 60% (GELATINA ESPECIAL)</v>
      </c>
      <c r="E950" s="53"/>
      <c r="F950" s="53"/>
      <c r="G950" s="53"/>
      <c r="H950" s="53"/>
      <c r="I950" s="36"/>
      <c r="J950" s="54"/>
      <c r="K950" s="262" t="str">
        <f t="shared" si="83"/>
        <v>KG</v>
      </c>
      <c r="L950" s="267">
        <f t="shared" si="84"/>
        <v>5.3</v>
      </c>
      <c r="M950" s="174">
        <v>0.42</v>
      </c>
      <c r="N950" s="316">
        <f t="shared" ref="N950:N960" si="85">ROUND(L950*M950,2)</f>
        <v>2.23</v>
      </c>
    </row>
    <row r="951" spans="2:14" ht="20.100000000000001" customHeight="1">
      <c r="B951" s="260" t="s">
        <v>473</v>
      </c>
      <c r="D951" s="264" t="str">
        <f t="shared" si="82"/>
        <v>ESPOLETA COMUM N.8</v>
      </c>
      <c r="E951" s="53"/>
      <c r="F951" s="53"/>
      <c r="G951" s="53"/>
      <c r="H951" s="53"/>
      <c r="I951" s="36"/>
      <c r="J951" s="54"/>
      <c r="K951" s="262" t="str">
        <f t="shared" si="83"/>
        <v>UNID.</v>
      </c>
      <c r="L951" s="267">
        <f t="shared" si="84"/>
        <v>1</v>
      </c>
      <c r="M951" s="174">
        <v>1.2999999999999999E-2</v>
      </c>
      <c r="N951" s="316">
        <f t="shared" si="85"/>
        <v>0.01</v>
      </c>
    </row>
    <row r="952" spans="2:14" ht="20.100000000000001" customHeight="1">
      <c r="B952" s="260" t="s">
        <v>474</v>
      </c>
      <c r="D952" s="264" t="str">
        <f t="shared" si="82"/>
        <v>CORDEL DETONANTE NP 10</v>
      </c>
      <c r="E952" s="53"/>
      <c r="F952" s="53"/>
      <c r="G952" s="53"/>
      <c r="H952" s="53"/>
      <c r="I952" s="36"/>
      <c r="J952" s="54"/>
      <c r="K952" s="262" t="str">
        <f t="shared" si="83"/>
        <v>M</v>
      </c>
      <c r="L952" s="267">
        <f t="shared" si="84"/>
        <v>0.72</v>
      </c>
      <c r="M952" s="174">
        <v>0.8</v>
      </c>
      <c r="N952" s="316">
        <f t="shared" si="85"/>
        <v>0.57999999999999996</v>
      </c>
    </row>
    <row r="953" spans="2:14" ht="20.100000000000001" customHeight="1">
      <c r="B953" s="260" t="s">
        <v>475</v>
      </c>
      <c r="D953" s="264" t="str">
        <f t="shared" si="82"/>
        <v>RETARDADOR DE CORDEL</v>
      </c>
      <c r="E953" s="53"/>
      <c r="F953" s="53"/>
      <c r="G953" s="53"/>
      <c r="H953" s="53"/>
      <c r="I953" s="36"/>
      <c r="J953" s="54"/>
      <c r="K953" s="262" t="str">
        <f t="shared" si="83"/>
        <v>UNID.</v>
      </c>
      <c r="L953" s="267">
        <f t="shared" si="84"/>
        <v>10</v>
      </c>
      <c r="M953" s="174">
        <v>0.04</v>
      </c>
      <c r="N953" s="316">
        <f t="shared" si="85"/>
        <v>0.4</v>
      </c>
    </row>
    <row r="954" spans="2:14" ht="20.100000000000001" customHeight="1">
      <c r="B954" s="260" t="s">
        <v>476</v>
      </c>
      <c r="D954" s="264" t="str">
        <f t="shared" si="82"/>
        <v>ESTOPIM</v>
      </c>
      <c r="E954" s="53"/>
      <c r="F954" s="53"/>
      <c r="G954" s="53"/>
      <c r="H954" s="53"/>
      <c r="I954" s="36"/>
      <c r="J954" s="54"/>
      <c r="K954" s="262" t="str">
        <f t="shared" si="83"/>
        <v>M</v>
      </c>
      <c r="L954" s="267">
        <f t="shared" si="84"/>
        <v>1</v>
      </c>
      <c r="M954" s="174">
        <v>2.5000000000000001E-2</v>
      </c>
      <c r="N954" s="316">
        <f t="shared" si="85"/>
        <v>0.03</v>
      </c>
    </row>
    <row r="955" spans="2:14" ht="20.100000000000001" customHeight="1">
      <c r="B955" s="260" t="s">
        <v>480</v>
      </c>
      <c r="D955" s="264" t="str">
        <f t="shared" si="82"/>
        <v>HASTE PARA PERFURATRIZ DE ESTEIRA</v>
      </c>
      <c r="E955" s="53"/>
      <c r="F955" s="53"/>
      <c r="G955" s="53"/>
      <c r="H955" s="53"/>
      <c r="I955" s="36"/>
      <c r="J955" s="54"/>
      <c r="K955" s="262" t="str">
        <f t="shared" si="83"/>
        <v>UNID.</v>
      </c>
      <c r="L955" s="267">
        <f t="shared" si="84"/>
        <v>993.05</v>
      </c>
      <c r="M955" s="174">
        <v>1E-3</v>
      </c>
      <c r="N955" s="316">
        <f>ROUND(L955*M955,2)</f>
        <v>0.99</v>
      </c>
    </row>
    <row r="956" spans="2:14" ht="20.100000000000001" customHeight="1">
      <c r="B956" s="260" t="s">
        <v>481</v>
      </c>
      <c r="D956" s="264" t="str">
        <f t="shared" si="82"/>
        <v>LUVA PARA PERFURATRIZ DE ESTEIRA</v>
      </c>
      <c r="E956" s="53"/>
      <c r="F956" s="53"/>
      <c r="G956" s="53"/>
      <c r="H956" s="53"/>
      <c r="I956" s="36"/>
      <c r="J956" s="54"/>
      <c r="K956" s="262" t="str">
        <f t="shared" si="83"/>
        <v>UNID.</v>
      </c>
      <c r="L956" s="267">
        <f t="shared" si="84"/>
        <v>223.7</v>
      </c>
      <c r="M956" s="174">
        <v>1E-3</v>
      </c>
      <c r="N956" s="316">
        <f>ROUND(L956*M956,2)</f>
        <v>0.22</v>
      </c>
    </row>
    <row r="957" spans="2:14" ht="20.100000000000001" customHeight="1">
      <c r="B957" s="260" t="s">
        <v>482</v>
      </c>
      <c r="D957" s="264" t="str">
        <f t="shared" si="82"/>
        <v>PUNHO PARA PERFURATRIZ DE ESTEIRA</v>
      </c>
      <c r="E957" s="53"/>
      <c r="F957" s="53"/>
      <c r="G957" s="53"/>
      <c r="H957" s="53"/>
      <c r="I957" s="36"/>
      <c r="J957" s="54"/>
      <c r="K957" s="262" t="str">
        <f t="shared" si="83"/>
        <v>UNID.</v>
      </c>
      <c r="L957" s="267">
        <f t="shared" si="84"/>
        <v>1033.54</v>
      </c>
      <c r="M957" s="174">
        <v>8.0000000000000004E-4</v>
      </c>
      <c r="N957" s="316">
        <f>ROUND(L957*M957,2)</f>
        <v>0.83</v>
      </c>
    </row>
    <row r="958" spans="2:14" ht="20.100000000000001" customHeight="1">
      <c r="B958" s="260" t="s">
        <v>401</v>
      </c>
      <c r="D958" s="264" t="str">
        <f t="shared" si="82"/>
        <v>INDENIZAÇÃO DE JAZIDA</v>
      </c>
      <c r="E958" s="53"/>
      <c r="F958" s="53"/>
      <c r="G958" s="53"/>
      <c r="H958" s="53"/>
      <c r="I958" s="36"/>
      <c r="J958" s="54"/>
      <c r="K958" s="262" t="str">
        <f t="shared" si="83"/>
        <v>M3</v>
      </c>
      <c r="L958" s="267">
        <f t="shared" si="84"/>
        <v>1.37</v>
      </c>
      <c r="M958" s="174">
        <v>1</v>
      </c>
      <c r="N958" s="316">
        <f t="shared" si="85"/>
        <v>1.37</v>
      </c>
    </row>
    <row r="959" spans="2:14" ht="20.100000000000001" customHeight="1">
      <c r="B959" s="260" t="s">
        <v>411</v>
      </c>
      <c r="D959" s="264" t="str">
        <f t="shared" si="82"/>
        <v>LIMPEZA DE CAMADA VEGETAL EM JAZIDA  (CONST. E RESTR.)</v>
      </c>
      <c r="E959" s="53"/>
      <c r="F959" s="53"/>
      <c r="G959" s="53"/>
      <c r="H959" s="53"/>
      <c r="I959" s="36"/>
      <c r="J959" s="54"/>
      <c r="K959" s="262" t="str">
        <f t="shared" si="83"/>
        <v>M2</v>
      </c>
      <c r="L959" s="267">
        <f t="shared" si="84"/>
        <v>0.64</v>
      </c>
      <c r="M959" s="174">
        <v>0.7</v>
      </c>
      <c r="N959" s="316">
        <f t="shared" si="85"/>
        <v>0.45</v>
      </c>
    </row>
    <row r="960" spans="2:14" ht="20.100000000000001" customHeight="1">
      <c r="B960" s="260" t="s">
        <v>410</v>
      </c>
      <c r="D960" s="264" t="str">
        <f t="shared" si="82"/>
        <v>EXPURGO DE JAZIDA   (CONST. E RESTR.)</v>
      </c>
      <c r="E960" s="53"/>
      <c r="F960" s="53"/>
      <c r="G960" s="53"/>
      <c r="H960" s="53"/>
      <c r="I960" s="36"/>
      <c r="J960" s="54"/>
      <c r="K960" s="262" t="str">
        <f t="shared" si="83"/>
        <v>M3</v>
      </c>
      <c r="L960" s="267">
        <f t="shared" si="84"/>
        <v>3.38</v>
      </c>
      <c r="M960" s="174">
        <v>0.2</v>
      </c>
      <c r="N960" s="316">
        <f t="shared" si="85"/>
        <v>0.68</v>
      </c>
    </row>
    <row r="961" spans="2:21" ht="20.100000000000001" customHeight="1">
      <c r="D961" s="158"/>
      <c r="E961" s="159"/>
      <c r="F961" s="159"/>
      <c r="G961" s="173"/>
      <c r="H961" s="159"/>
      <c r="I961" s="163"/>
      <c r="J961" s="161"/>
      <c r="K961" s="161"/>
      <c r="L961" s="163"/>
      <c r="M961" s="71" t="s">
        <v>106</v>
      </c>
      <c r="N961" s="302">
        <f>SUM(N949:N958)</f>
        <v>7.0799999999999992</v>
      </c>
    </row>
    <row r="962" spans="2:21" ht="20.100000000000001" customHeight="1">
      <c r="D962" s="158"/>
      <c r="E962" s="159"/>
      <c r="F962" s="159"/>
      <c r="G962" s="173"/>
      <c r="H962" s="159"/>
      <c r="I962" s="163"/>
      <c r="J962" s="161"/>
      <c r="K962" s="161"/>
      <c r="L962" s="163"/>
      <c r="M962" s="161"/>
      <c r="N962" s="305"/>
    </row>
    <row r="963" spans="2:21" ht="20.100000000000001" customHeight="1">
      <c r="D963" s="527" t="s">
        <v>107</v>
      </c>
      <c r="E963" s="72" t="s">
        <v>2</v>
      </c>
      <c r="F963" s="73"/>
      <c r="G963" s="73"/>
      <c r="H963" s="74"/>
      <c r="I963" s="498" t="s">
        <v>108</v>
      </c>
      <c r="J963" s="499"/>
      <c r="K963" s="531" t="s">
        <v>103</v>
      </c>
      <c r="L963" s="514" t="s">
        <v>80</v>
      </c>
      <c r="M963" s="531" t="s">
        <v>109</v>
      </c>
      <c r="N963" s="529" t="s">
        <v>105</v>
      </c>
    </row>
    <row r="964" spans="2:21" ht="20.100000000000001" customHeight="1">
      <c r="D964" s="528"/>
      <c r="E964" s="512" t="s">
        <v>110</v>
      </c>
      <c r="F964" s="513"/>
      <c r="G964" s="512" t="s">
        <v>111</v>
      </c>
      <c r="H964" s="513"/>
      <c r="I964" s="500"/>
      <c r="J964" s="501"/>
      <c r="K964" s="532"/>
      <c r="L964" s="515"/>
      <c r="M964" s="532"/>
      <c r="N964" s="530"/>
    </row>
    <row r="965" spans="2:21" ht="20.100000000000001" customHeight="1">
      <c r="B965" s="260"/>
      <c r="D965" s="261">
        <f>IF(B965=0,0,VLOOKUP(B965,TRANS,3,FALSE))</f>
        <v>0</v>
      </c>
      <c r="E965" s="581">
        <f>IF(B965=0,0,VLOOKUP(B965,TRANS,5,FALSE))</f>
        <v>0</v>
      </c>
      <c r="F965" s="582"/>
      <c r="G965" s="502"/>
      <c r="H965" s="503"/>
      <c r="I965" s="533"/>
      <c r="J965" s="534">
        <v>50</v>
      </c>
      <c r="K965" s="262">
        <f>IF(B965=0,0,VLOOKUP(B965,TRANS,4,FALSE))</f>
        <v>0</v>
      </c>
      <c r="L965" s="267">
        <f>E965*I965</f>
        <v>0</v>
      </c>
      <c r="M965" s="70"/>
      <c r="N965" s="317">
        <f>ROUND(L965*M965,2)</f>
        <v>0</v>
      </c>
    </row>
    <row r="966" spans="2:21" ht="20.100000000000001" customHeight="1">
      <c r="B966" s="260"/>
      <c r="D966" s="261"/>
      <c r="E966" s="504"/>
      <c r="F966" s="505"/>
      <c r="G966" s="502"/>
      <c r="H966" s="503"/>
      <c r="I966" s="533"/>
      <c r="J966" s="534"/>
      <c r="K966" s="66"/>
      <c r="L966" s="67"/>
      <c r="M966" s="70"/>
      <c r="N966" s="278"/>
    </row>
    <row r="967" spans="2:21" ht="20.100000000000001" customHeight="1">
      <c r="D967" s="175"/>
      <c r="E967" s="176"/>
      <c r="F967" s="159"/>
      <c r="G967" s="173"/>
      <c r="H967" s="159"/>
      <c r="I967" s="163"/>
      <c r="J967" s="161"/>
      <c r="K967" s="161"/>
      <c r="L967" s="163"/>
      <c r="M967" s="71" t="s">
        <v>112</v>
      </c>
      <c r="N967" s="437">
        <f>SUM(N965:N966)</f>
        <v>0</v>
      </c>
    </row>
    <row r="968" spans="2:21" ht="3.95" customHeight="1" thickBot="1">
      <c r="D968" s="175"/>
      <c r="E968" s="159"/>
      <c r="F968" s="173"/>
      <c r="G968" s="159"/>
      <c r="H968" s="161"/>
      <c r="I968" s="163"/>
      <c r="J968" s="161"/>
      <c r="K968" s="161"/>
      <c r="L968" s="163"/>
      <c r="M968" s="161"/>
      <c r="N968" s="305"/>
    </row>
    <row r="969" spans="2:21" ht="20.100000000000001" customHeight="1">
      <c r="D969" s="177"/>
      <c r="E969" s="178"/>
      <c r="F969" s="178"/>
      <c r="G969" s="178"/>
      <c r="H969" s="179"/>
      <c r="I969" s="239"/>
      <c r="J969" s="127" t="s">
        <v>114</v>
      </c>
      <c r="K969" s="128"/>
      <c r="L969" s="306"/>
      <c r="M969" s="129">
        <v>0</v>
      </c>
      <c r="N969" s="447">
        <f>(+$N946+$N961+$N967)*M969</f>
        <v>0</v>
      </c>
    </row>
    <row r="970" spans="2:21" ht="20.100000000000001" customHeight="1" thickBot="1">
      <c r="D970" s="180"/>
      <c r="E970" s="181"/>
      <c r="F970" s="181"/>
      <c r="G970" s="181"/>
      <c r="H970" s="181"/>
      <c r="I970" s="240"/>
      <c r="J970" s="537" t="s">
        <v>149</v>
      </c>
      <c r="K970" s="538"/>
      <c r="L970" s="538"/>
      <c r="M970" s="538"/>
      <c r="N970" s="308">
        <f>+$N946+$N961+$N967+N969</f>
        <v>20.52</v>
      </c>
    </row>
    <row r="971" spans="2:21" ht="20.100000000000001" customHeight="1" thickBot="1">
      <c r="D971" s="182"/>
      <c r="E971" s="183"/>
      <c r="F971" s="183"/>
      <c r="G971" s="183"/>
      <c r="H971" s="183"/>
      <c r="I971" s="241"/>
      <c r="J971" s="184" t="s">
        <v>158</v>
      </c>
      <c r="K971" s="185"/>
      <c r="L971" s="309"/>
      <c r="M971" s="186">
        <v>0</v>
      </c>
      <c r="N971" s="310">
        <f>(M971*N970)+N970</f>
        <v>20.52</v>
      </c>
      <c r="O971" s="210"/>
      <c r="P971" s="16">
        <v>48.42</v>
      </c>
      <c r="R971" s="90">
        <f>(N971/P971)-1</f>
        <v>-0.57620817843866168</v>
      </c>
    </row>
    <row r="975" spans="2:21" ht="20.100000000000001" customHeight="1" thickBot="1"/>
    <row r="976" spans="2:21" ht="20.100000000000001" customHeight="1">
      <c r="D976" s="598" t="s">
        <v>450</v>
      </c>
      <c r="E976" s="599"/>
      <c r="F976" s="524" t="s">
        <v>74</v>
      </c>
      <c r="G976" s="525"/>
      <c r="H976" s="525"/>
      <c r="I976" s="525"/>
      <c r="J976" s="525"/>
      <c r="K976" s="525"/>
      <c r="L976" s="526"/>
      <c r="M976" s="19" t="s">
        <v>75</v>
      </c>
      <c r="N976" s="20" t="s">
        <v>76</v>
      </c>
      <c r="U976" s="132">
        <f>N1011</f>
        <v>23.009999999999998</v>
      </c>
    </row>
    <row r="977" spans="2:14" ht="20.100000000000001" customHeight="1">
      <c r="D977" s="600"/>
      <c r="E977" s="601"/>
      <c r="F977" s="512" t="str">
        <f>MAT!D46</f>
        <v>LIMPEZA DE CAMADA VEGETAL</v>
      </c>
      <c r="G977" s="519"/>
      <c r="H977" s="519"/>
      <c r="I977" s="519"/>
      <c r="J977" s="519"/>
      <c r="K977" s="519"/>
      <c r="L977" s="513"/>
      <c r="M977" s="24" t="s">
        <v>5</v>
      </c>
      <c r="N977" s="25">
        <f>DATA</f>
        <v>41214</v>
      </c>
    </row>
    <row r="978" spans="2:14" ht="20.100000000000001" customHeight="1">
      <c r="D978" s="26" t="s">
        <v>77</v>
      </c>
      <c r="E978" s="27"/>
      <c r="F978" s="27"/>
      <c r="G978" s="27"/>
      <c r="H978" s="28"/>
      <c r="I978" s="214" t="s">
        <v>78</v>
      </c>
      <c r="J978" s="509" t="s">
        <v>79</v>
      </c>
      <c r="K978" s="511"/>
      <c r="L978" s="535" t="s">
        <v>80</v>
      </c>
      <c r="M978" s="536"/>
      <c r="N978" s="516" t="s">
        <v>81</v>
      </c>
    </row>
    <row r="979" spans="2:14" ht="20.100000000000001" customHeight="1">
      <c r="D979" s="31"/>
      <c r="E979" s="32"/>
      <c r="F979" s="32"/>
      <c r="G979" s="32"/>
      <c r="H979" s="33"/>
      <c r="I979" s="34"/>
      <c r="J979" s="51" t="s">
        <v>82</v>
      </c>
      <c r="K979" s="51" t="s">
        <v>83</v>
      </c>
      <c r="L979" s="51" t="s">
        <v>82</v>
      </c>
      <c r="M979" s="51" t="s">
        <v>84</v>
      </c>
      <c r="N979" s="517"/>
    </row>
    <row r="980" spans="2:14" ht="20.100000000000001" customHeight="1">
      <c r="B980" s="260" t="s">
        <v>286</v>
      </c>
      <c r="D980" s="35" t="str">
        <f>IF(B980=0,0,VLOOKUP(B980,EQUIP,3,FALSE))</f>
        <v>CARREGADEIRA DE PNEUS - 3,1 m³ (127KW)</v>
      </c>
      <c r="E980" s="91"/>
      <c r="F980" s="91"/>
      <c r="G980" s="91"/>
      <c r="H980" s="92"/>
      <c r="I980" s="215">
        <v>1</v>
      </c>
      <c r="J980" s="38">
        <v>0.24</v>
      </c>
      <c r="K980" s="38">
        <f>1-J980</f>
        <v>0.76</v>
      </c>
      <c r="L980" s="215">
        <f>IF(B980=0,0,VLOOKUP(B980,EQUIP,6,FALSE))</f>
        <v>185.29</v>
      </c>
      <c r="M980" s="38">
        <f>IF(B980=0,0,VLOOKUP(B980,EQUIP,7,FALSE))</f>
        <v>22.39</v>
      </c>
      <c r="N980" s="269">
        <f>ROUND(J980*L980+K980*M980,2)</f>
        <v>61.49</v>
      </c>
    </row>
    <row r="981" spans="2:14" ht="20.100000000000001" customHeight="1">
      <c r="B981" s="260" t="s">
        <v>490</v>
      </c>
      <c r="D981" s="35" t="str">
        <f>IF(B981=0,0,VLOOKUP(B981,EQUIP,3,FALSE))</f>
        <v>CONJUNTO DE BRITAGEM - 80 M3/H (292 KW)</v>
      </c>
      <c r="E981" s="36"/>
      <c r="F981" s="36"/>
      <c r="G981" s="36"/>
      <c r="H981" s="37"/>
      <c r="I981" s="215">
        <v>1</v>
      </c>
      <c r="J981" s="39">
        <v>1</v>
      </c>
      <c r="K981" s="38">
        <f>1-J981</f>
        <v>0</v>
      </c>
      <c r="L981" s="215">
        <f>IF(B981=0,0,VLOOKUP(B981,EQUIP,6,FALSE))</f>
        <v>467.8</v>
      </c>
      <c r="M981" s="38">
        <f>IF(B981=0,0,VLOOKUP(B981,EQUIP,7,FALSE))</f>
        <v>22.39</v>
      </c>
      <c r="N981" s="269">
        <f>ROUND(J981*L981+K981*M981,2)</f>
        <v>467.8</v>
      </c>
    </row>
    <row r="982" spans="2:14" ht="20.100000000000001" customHeight="1">
      <c r="B982" s="260" t="s">
        <v>489</v>
      </c>
      <c r="D982" s="35" t="str">
        <f>IF(B982=0,0,VLOOKUP(B982,EQUIP,3,FALSE))</f>
        <v>GRUPO GERADOR - 241/265 KVA (212 KW)</v>
      </c>
      <c r="E982" s="91"/>
      <c r="F982" s="91"/>
      <c r="G982" s="91"/>
      <c r="H982" s="92"/>
      <c r="I982" s="215">
        <v>1</v>
      </c>
      <c r="J982" s="38">
        <v>1</v>
      </c>
      <c r="K982" s="38">
        <f>1-J982</f>
        <v>0</v>
      </c>
      <c r="L982" s="215">
        <f>IF(B982=0,0,VLOOKUP(B982,EQUIP,6,FALSE))</f>
        <v>126.15</v>
      </c>
      <c r="M982" s="38">
        <f>IF(B982=0,0,VLOOKUP(B982,EQUIP,7,FALSE))</f>
        <v>17.27</v>
      </c>
      <c r="N982" s="269">
        <f>ROUND(J982*L982+K982*M982,2)</f>
        <v>126.15</v>
      </c>
    </row>
    <row r="983" spans="2:14" ht="20.100000000000001" customHeight="1">
      <c r="B983" s="260"/>
      <c r="D983" s="264">
        <f>IF(B983=0,0,VLOOKUP(B983,EQUIP,3,FALSE))</f>
        <v>0</v>
      </c>
      <c r="E983" s="265"/>
      <c r="F983" s="265"/>
      <c r="G983" s="265"/>
      <c r="H983" s="266"/>
      <c r="I983" s="263"/>
      <c r="J983" s="318"/>
      <c r="K983" s="318"/>
      <c r="L983" s="318">
        <f>IF(B983=0,0,VLOOKUP(B983,EQUIP,6,FALSE))</f>
        <v>0</v>
      </c>
      <c r="M983" s="318">
        <f>IF(B983=0,0,VLOOKUP(B983,EQUIP,7,FALSE))</f>
        <v>0</v>
      </c>
      <c r="N983" s="319">
        <f>ROUND(J983*L983+K983*M983,2)</f>
        <v>0</v>
      </c>
    </row>
    <row r="984" spans="2:14" ht="20.100000000000001" customHeight="1">
      <c r="B984" s="260"/>
      <c r="D984" s="264">
        <f>IF(B984=0,0,VLOOKUP(B984,EQUIP,3,FALSE))</f>
        <v>0</v>
      </c>
      <c r="E984" s="265"/>
      <c r="F984" s="265"/>
      <c r="G984" s="265"/>
      <c r="H984" s="266"/>
      <c r="I984" s="318"/>
      <c r="J984" s="318"/>
      <c r="K984" s="318"/>
      <c r="L984" s="318">
        <f>IF(B984=0,0,VLOOKUP(B984,EQUIP,6,FALSE))</f>
        <v>0</v>
      </c>
      <c r="M984" s="318">
        <f>IF(B984=0,0,VLOOKUP(B984,EQUIP,7,FALSE))</f>
        <v>0</v>
      </c>
      <c r="N984" s="319">
        <f>ROUND(J984*L984+K984*M984,2)</f>
        <v>0</v>
      </c>
    </row>
    <row r="985" spans="2:14" ht="20.100000000000001" customHeight="1">
      <c r="D985" s="155"/>
      <c r="E985" s="156"/>
      <c r="F985" s="156"/>
      <c r="G985" s="156"/>
      <c r="H985" s="156"/>
      <c r="I985" s="235"/>
      <c r="J985" s="157"/>
      <c r="K985" s="157"/>
      <c r="L985" s="216"/>
      <c r="M985" s="42" t="s">
        <v>89</v>
      </c>
      <c r="N985" s="270">
        <f>SUM(N980:N984)</f>
        <v>655.43999999999994</v>
      </c>
    </row>
    <row r="986" spans="2:14" ht="3.95" customHeight="1">
      <c r="D986" s="158"/>
      <c r="E986" s="159"/>
      <c r="F986" s="159"/>
      <c r="G986" s="160"/>
      <c r="H986" s="159"/>
      <c r="I986" s="236"/>
      <c r="J986" s="161"/>
      <c r="K986" s="162"/>
      <c r="L986" s="163"/>
      <c r="M986" s="163"/>
      <c r="N986" s="300"/>
    </row>
    <row r="987" spans="2:14" ht="20.100000000000001" customHeight="1">
      <c r="D987" s="518" t="s">
        <v>90</v>
      </c>
      <c r="E987" s="519"/>
      <c r="F987" s="519"/>
      <c r="G987" s="519"/>
      <c r="H987" s="519"/>
      <c r="I987" s="519"/>
      <c r="J987" s="513"/>
      <c r="K987" s="50" t="s">
        <v>91</v>
      </c>
      <c r="L987" s="51" t="s">
        <v>92</v>
      </c>
      <c r="M987" s="51" t="s">
        <v>93</v>
      </c>
      <c r="N987" s="272" t="s">
        <v>94</v>
      </c>
    </row>
    <row r="988" spans="2:14" ht="20.100000000000001" customHeight="1">
      <c r="B988" s="260" t="s">
        <v>247</v>
      </c>
      <c r="D988" s="52" t="str">
        <f>IF(B988=0,0,VLOOKUP(B988,MO,2,FALSE))</f>
        <v>ENCARREGADO DE TURMA</v>
      </c>
      <c r="E988" s="53"/>
      <c r="F988" s="53"/>
      <c r="G988" s="53"/>
      <c r="H988" s="53"/>
      <c r="I988" s="36"/>
      <c r="J988" s="54"/>
      <c r="K988" s="152"/>
      <c r="L988" s="164">
        <v>1</v>
      </c>
      <c r="M988" s="55">
        <f>IF(B988=0,0,VLOOKUP(B988,MO,6,FALSE))</f>
        <v>27</v>
      </c>
      <c r="N988" s="301">
        <f>ROUND(L988*M988,2)</f>
        <v>27</v>
      </c>
    </row>
    <row r="989" spans="2:14" ht="20.100000000000001" customHeight="1">
      <c r="B989" s="260" t="s">
        <v>248</v>
      </c>
      <c r="D989" s="52" t="str">
        <f>IF(B989=0,0,VLOOKUP(B989,MO,2,FALSE))</f>
        <v>SERVENTE</v>
      </c>
      <c r="E989" s="53"/>
      <c r="F989" s="53"/>
      <c r="G989" s="53"/>
      <c r="H989" s="53"/>
      <c r="I989" s="36"/>
      <c r="J989" s="54"/>
      <c r="K989" s="152"/>
      <c r="L989" s="164">
        <v>8</v>
      </c>
      <c r="M989" s="55">
        <f>IF(B989=0,0,VLOOKUP(B989,MO,6,FALSE))</f>
        <v>7.9973000000000001</v>
      </c>
      <c r="N989" s="301">
        <f>ROUND(L989*M989,2)</f>
        <v>63.98</v>
      </c>
    </row>
    <row r="990" spans="2:14" ht="20.100000000000001" customHeight="1">
      <c r="B990" s="260"/>
      <c r="D990" s="52" t="s">
        <v>122</v>
      </c>
      <c r="E990" s="53"/>
      <c r="F990" s="53"/>
      <c r="G990" s="53"/>
      <c r="H990" s="53"/>
      <c r="I990" s="36"/>
      <c r="J990" s="54"/>
      <c r="K990" s="165">
        <v>0</v>
      </c>
      <c r="L990" s="166">
        <f>N988+N989</f>
        <v>90.97999999999999</v>
      </c>
      <c r="M990" s="164"/>
      <c r="N990" s="316">
        <f>ROUND(L990*K990,2)</f>
        <v>0</v>
      </c>
    </row>
    <row r="991" spans="2:14" ht="20.100000000000001" customHeight="1">
      <c r="D991" s="167"/>
      <c r="E991" s="59"/>
      <c r="F991" s="168"/>
      <c r="G991" s="168"/>
      <c r="H991" s="159"/>
      <c r="I991" s="236"/>
      <c r="J991" s="169"/>
      <c r="K991" s="162"/>
      <c r="L991" s="163"/>
      <c r="M991" s="62" t="s">
        <v>98</v>
      </c>
      <c r="N991" s="302">
        <f>SUM(N988:N990)</f>
        <v>90.97999999999999</v>
      </c>
    </row>
    <row r="992" spans="2:14" ht="3.95" customHeight="1">
      <c r="D992" s="158"/>
      <c r="E992" s="159"/>
      <c r="F992" s="159"/>
      <c r="G992" s="159"/>
      <c r="H992" s="159"/>
      <c r="I992" s="236"/>
      <c r="J992" s="169"/>
      <c r="K992" s="162"/>
      <c r="L992" s="163"/>
      <c r="M992" s="163"/>
      <c r="N992" s="300"/>
    </row>
    <row r="993" spans="2:14" ht="20.100000000000001" customHeight="1">
      <c r="D993" s="170"/>
      <c r="E993" s="168"/>
      <c r="F993" s="168"/>
      <c r="G993" s="168"/>
      <c r="H993" s="171"/>
      <c r="I993" s="237"/>
      <c r="J993" s="171"/>
      <c r="K993" s="509" t="s">
        <v>99</v>
      </c>
      <c r="L993" s="510"/>
      <c r="M993" s="511"/>
      <c r="N993" s="303">
        <f>+N985+N991</f>
        <v>746.42</v>
      </c>
    </row>
    <row r="994" spans="2:14" ht="3.95" customHeight="1">
      <c r="D994" s="172"/>
      <c r="E994" s="159"/>
      <c r="F994" s="159"/>
      <c r="G994" s="160"/>
      <c r="H994" s="159"/>
      <c r="I994" s="236"/>
      <c r="J994" s="161"/>
      <c r="K994" s="162"/>
      <c r="L994" s="163"/>
      <c r="M994" s="163"/>
      <c r="N994" s="300"/>
    </row>
    <row r="995" spans="2:14" ht="20.100000000000001" customHeight="1">
      <c r="D995" s="167"/>
      <c r="E995" s="509" t="s">
        <v>100</v>
      </c>
      <c r="F995" s="510"/>
      <c r="G995" s="510"/>
      <c r="H995" s="511"/>
      <c r="I995" s="238">
        <v>66</v>
      </c>
      <c r="J995" s="163"/>
      <c r="K995" s="506" t="s">
        <v>101</v>
      </c>
      <c r="L995" s="507"/>
      <c r="M995" s="508"/>
      <c r="N995" s="304">
        <f>ROUND(N993/I995,2)</f>
        <v>11.31</v>
      </c>
    </row>
    <row r="996" spans="2:14" ht="3.95" customHeight="1">
      <c r="D996" s="158"/>
      <c r="E996" s="159"/>
      <c r="F996" s="159"/>
      <c r="G996" s="173"/>
      <c r="H996" s="159"/>
      <c r="I996" s="163"/>
      <c r="J996" s="161"/>
      <c r="K996" s="161"/>
      <c r="L996" s="163"/>
      <c r="M996" s="161"/>
      <c r="N996" s="305"/>
    </row>
    <row r="997" spans="2:14" ht="20.100000000000001" customHeight="1">
      <c r="D997" s="49" t="s">
        <v>102</v>
      </c>
      <c r="E997" s="22"/>
      <c r="F997" s="22"/>
      <c r="G997" s="22"/>
      <c r="H997" s="22"/>
      <c r="I997" s="141"/>
      <c r="J997" s="23"/>
      <c r="K997" s="50" t="s">
        <v>103</v>
      </c>
      <c r="L997" s="51" t="s">
        <v>80</v>
      </c>
      <c r="M997" s="51" t="s">
        <v>104</v>
      </c>
      <c r="N997" s="272" t="s">
        <v>105</v>
      </c>
    </row>
    <row r="998" spans="2:14" ht="20.100000000000001" customHeight="1">
      <c r="B998" s="260" t="s">
        <v>452</v>
      </c>
      <c r="D998" s="52" t="str">
        <f>IF(B998=0,0,VLOOKUP(B998,MAT,3,FALSE))</f>
        <v>ROCHA P/ BRITAGEM C/ PERFUR. SOBRE ESTEIRA</v>
      </c>
      <c r="E998" s="53"/>
      <c r="F998" s="53"/>
      <c r="G998" s="53"/>
      <c r="H998" s="53"/>
      <c r="I998" s="36"/>
      <c r="J998" s="54"/>
      <c r="K998" s="66" t="str">
        <f>IF(B998=0,0,VLOOKUP(B998,MAT,5,FALSE))</f>
        <v>M3</v>
      </c>
      <c r="L998" s="67">
        <f>IF(B998=0,0,VLOOKUP(B998,MAT,6,FALSE))</f>
        <v>20.52</v>
      </c>
      <c r="M998" s="174">
        <v>0.56999999999999995</v>
      </c>
      <c r="N998" s="301">
        <f>ROUND(L998*M998,2)</f>
        <v>11.7</v>
      </c>
    </row>
    <row r="999" spans="2:14" ht="20.100000000000001" customHeight="1">
      <c r="B999" s="260"/>
      <c r="D999" s="52"/>
      <c r="E999" s="53"/>
      <c r="F999" s="53"/>
      <c r="G999" s="53"/>
      <c r="H999" s="53"/>
      <c r="I999" s="36"/>
      <c r="J999" s="54"/>
      <c r="K999" s="66"/>
      <c r="L999" s="67"/>
      <c r="M999" s="174"/>
      <c r="N999" s="316">
        <f>ROUND(L999*M999,2)</f>
        <v>0</v>
      </c>
    </row>
    <row r="1000" spans="2:14" ht="20.100000000000001" customHeight="1">
      <c r="D1000" s="158"/>
      <c r="E1000" s="159"/>
      <c r="F1000" s="159"/>
      <c r="G1000" s="173"/>
      <c r="H1000" s="159"/>
      <c r="I1000" s="163"/>
      <c r="J1000" s="161"/>
      <c r="K1000" s="161"/>
      <c r="L1000" s="163"/>
      <c r="M1000" s="71" t="s">
        <v>106</v>
      </c>
      <c r="N1000" s="302">
        <f>SUM(N998:N999)</f>
        <v>11.7</v>
      </c>
    </row>
    <row r="1001" spans="2:14" ht="20.100000000000001" customHeight="1">
      <c r="D1001" s="158"/>
      <c r="E1001" s="159"/>
      <c r="F1001" s="159"/>
      <c r="G1001" s="173"/>
      <c r="H1001" s="159"/>
      <c r="I1001" s="163"/>
      <c r="J1001" s="161"/>
      <c r="K1001" s="161"/>
      <c r="L1001" s="163"/>
      <c r="M1001" s="161"/>
      <c r="N1001" s="305"/>
    </row>
    <row r="1002" spans="2:14" ht="20.100000000000001" customHeight="1">
      <c r="D1002" s="527" t="s">
        <v>107</v>
      </c>
      <c r="E1002" s="72" t="s">
        <v>2</v>
      </c>
      <c r="F1002" s="73"/>
      <c r="G1002" s="73"/>
      <c r="H1002" s="74"/>
      <c r="I1002" s="498" t="s">
        <v>108</v>
      </c>
      <c r="J1002" s="499"/>
      <c r="K1002" s="531" t="s">
        <v>103</v>
      </c>
      <c r="L1002" s="514" t="s">
        <v>80</v>
      </c>
      <c r="M1002" s="531" t="s">
        <v>109</v>
      </c>
      <c r="N1002" s="529" t="s">
        <v>105</v>
      </c>
    </row>
    <row r="1003" spans="2:14" ht="20.100000000000001" customHeight="1">
      <c r="D1003" s="528"/>
      <c r="E1003" s="512" t="s">
        <v>110</v>
      </c>
      <c r="F1003" s="513"/>
      <c r="G1003" s="512" t="s">
        <v>111</v>
      </c>
      <c r="H1003" s="513"/>
      <c r="I1003" s="500"/>
      <c r="J1003" s="501"/>
      <c r="K1003" s="532"/>
      <c r="L1003" s="515"/>
      <c r="M1003" s="532"/>
      <c r="N1003" s="530"/>
    </row>
    <row r="1004" spans="2:14" ht="21" customHeight="1">
      <c r="B1004" s="260"/>
      <c r="D1004" s="268">
        <f>IF(B1004=0,0,VLOOKUP(B1004,TRANS,3,FALSE))</f>
        <v>0</v>
      </c>
      <c r="E1004" s="581">
        <f>IF(B1004=0,0,VLOOKUP(B1004,TRANS,5,FALSE))</f>
        <v>0</v>
      </c>
      <c r="F1004" s="582"/>
      <c r="G1004" s="577"/>
      <c r="H1004" s="578"/>
      <c r="I1004" s="581"/>
      <c r="J1004" s="582">
        <v>50</v>
      </c>
      <c r="K1004" s="262">
        <f>IF(B1004=0,0,VLOOKUP(B1004,TRANS,4,FALSE))</f>
        <v>0</v>
      </c>
      <c r="L1004" s="267">
        <f>E1004*I1004</f>
        <v>0</v>
      </c>
      <c r="M1004" s="267"/>
      <c r="N1004" s="317">
        <f>ROUND(L1004*M1004,2)</f>
        <v>0</v>
      </c>
    </row>
    <row r="1005" spans="2:14" ht="21" customHeight="1">
      <c r="B1005" s="260"/>
      <c r="D1005" s="268">
        <f>IF(B1005=0,0,VLOOKUP(B1005,TRANS,3,FALSE))</f>
        <v>0</v>
      </c>
      <c r="E1005" s="581">
        <f>IF(B1005=0,0,VLOOKUP(B1005,TRANS,5,FALSE))</f>
        <v>0</v>
      </c>
      <c r="F1005" s="582"/>
      <c r="G1005" s="577"/>
      <c r="H1005" s="578"/>
      <c r="I1005" s="581"/>
      <c r="J1005" s="582">
        <v>10</v>
      </c>
      <c r="K1005" s="262">
        <f>IF(B1005=0,0,VLOOKUP(B1005,TRANS,4,FALSE))</f>
        <v>0</v>
      </c>
      <c r="L1005" s="267">
        <f>E1005*I1005</f>
        <v>0</v>
      </c>
      <c r="M1005" s="267"/>
      <c r="N1005" s="317">
        <f>ROUND(L1005*M1005,2)</f>
        <v>0</v>
      </c>
    </row>
    <row r="1006" spans="2:14" ht="21" customHeight="1">
      <c r="B1006" s="260"/>
      <c r="D1006" s="268">
        <f>IF(B1006=0,0,VLOOKUP(B1006,TRANS,3,FALSE))</f>
        <v>0</v>
      </c>
      <c r="E1006" s="581">
        <f>IF(B1006=0,0,VLOOKUP(B1006,TRANS,5,FALSE))</f>
        <v>0</v>
      </c>
      <c r="F1006" s="582"/>
      <c r="G1006" s="577"/>
      <c r="H1006" s="578"/>
      <c r="I1006" s="581"/>
      <c r="J1006" s="582">
        <v>10</v>
      </c>
      <c r="K1006" s="262">
        <f>IF(B1006=0,0,VLOOKUP(B1006,TRANS,4,FALSE))</f>
        <v>0</v>
      </c>
      <c r="L1006" s="267">
        <f>E1006*I1006</f>
        <v>0</v>
      </c>
      <c r="M1006" s="267"/>
      <c r="N1006" s="317">
        <f>ROUND(L1006*M1006,2)</f>
        <v>0</v>
      </c>
    </row>
    <row r="1007" spans="2:14" ht="20.100000000000001" customHeight="1">
      <c r="D1007" s="175"/>
      <c r="E1007" s="176"/>
      <c r="F1007" s="159"/>
      <c r="G1007" s="173"/>
      <c r="H1007" s="159"/>
      <c r="I1007" s="163"/>
      <c r="J1007" s="161"/>
      <c r="K1007" s="161"/>
      <c r="L1007" s="163"/>
      <c r="M1007" s="71" t="s">
        <v>112</v>
      </c>
      <c r="N1007" s="437">
        <f>SUM(N1004:N1006)</f>
        <v>0</v>
      </c>
    </row>
    <row r="1008" spans="2:14" ht="3.95" customHeight="1" thickBot="1">
      <c r="D1008" s="175"/>
      <c r="E1008" s="159"/>
      <c r="F1008" s="173"/>
      <c r="G1008" s="159"/>
      <c r="H1008" s="161"/>
      <c r="I1008" s="163"/>
      <c r="J1008" s="161"/>
      <c r="K1008" s="161"/>
      <c r="L1008" s="163"/>
      <c r="M1008" s="161"/>
      <c r="N1008" s="305"/>
    </row>
    <row r="1009" spans="2:21" ht="20.100000000000001" customHeight="1">
      <c r="D1009" s="177"/>
      <c r="E1009" s="178"/>
      <c r="F1009" s="178"/>
      <c r="G1009" s="178"/>
      <c r="H1009" s="179"/>
      <c r="I1009" s="239"/>
      <c r="J1009" s="127" t="s">
        <v>114</v>
      </c>
      <c r="K1009" s="128"/>
      <c r="L1009" s="306"/>
      <c r="M1009" s="129">
        <v>0</v>
      </c>
      <c r="N1009" s="447">
        <f>(+$N995+$N1000+$N1007)*M1009</f>
        <v>0</v>
      </c>
    </row>
    <row r="1010" spans="2:21" ht="20.100000000000001" customHeight="1" thickBot="1">
      <c r="D1010" s="180"/>
      <c r="E1010" s="181"/>
      <c r="F1010" s="181"/>
      <c r="G1010" s="181"/>
      <c r="H1010" s="181"/>
      <c r="I1010" s="240"/>
      <c r="J1010" s="537" t="s">
        <v>149</v>
      </c>
      <c r="K1010" s="538"/>
      <c r="L1010" s="538"/>
      <c r="M1010" s="538"/>
      <c r="N1010" s="308">
        <f>+$N995+$N1000+$N1007+N1009</f>
        <v>23.009999999999998</v>
      </c>
    </row>
    <row r="1011" spans="2:21" ht="20.100000000000001" customHeight="1" thickBot="1">
      <c r="D1011" s="182"/>
      <c r="E1011" s="183"/>
      <c r="F1011" s="183"/>
      <c r="G1011" s="183"/>
      <c r="H1011" s="183"/>
      <c r="I1011" s="241"/>
      <c r="J1011" s="184" t="s">
        <v>158</v>
      </c>
      <c r="K1011" s="185"/>
      <c r="L1011" s="309"/>
      <c r="M1011" s="186">
        <v>0</v>
      </c>
      <c r="N1011" s="310">
        <f>(M1011*N1010)+N1010</f>
        <v>23.009999999999998</v>
      </c>
      <c r="O1011" s="210"/>
      <c r="P1011" s="16">
        <v>48.42</v>
      </c>
      <c r="R1011" s="90">
        <f>(N1011/P1011)-1</f>
        <v>-0.52478314745972743</v>
      </c>
    </row>
    <row r="1015" spans="2:21" ht="20.100000000000001" customHeight="1" thickBot="1"/>
    <row r="1016" spans="2:21" ht="20.100000000000001" customHeight="1">
      <c r="D1016" s="598" t="s">
        <v>500</v>
      </c>
      <c r="E1016" s="599"/>
      <c r="F1016" s="524" t="s">
        <v>74</v>
      </c>
      <c r="G1016" s="525"/>
      <c r="H1016" s="525"/>
      <c r="I1016" s="525"/>
      <c r="J1016" s="525"/>
      <c r="K1016" s="525"/>
      <c r="L1016" s="526"/>
      <c r="M1016" s="19" t="s">
        <v>75</v>
      </c>
      <c r="N1016" s="20" t="s">
        <v>76</v>
      </c>
      <c r="U1016" s="132">
        <f>N1052</f>
        <v>115.68</v>
      </c>
    </row>
    <row r="1017" spans="2:21" ht="20.100000000000001" customHeight="1">
      <c r="D1017" s="600"/>
      <c r="E1017" s="601"/>
      <c r="F1017" s="512" t="str">
        <f>MAT!D59</f>
        <v>DEFENSA SEMI-MALEÁVEL SIMPLES (FORN. / IMPL.)</v>
      </c>
      <c r="G1017" s="519"/>
      <c r="H1017" s="519"/>
      <c r="I1017" s="519"/>
      <c r="J1017" s="519"/>
      <c r="K1017" s="519"/>
      <c r="L1017" s="513"/>
      <c r="M1017" s="24" t="s">
        <v>5</v>
      </c>
      <c r="N1017" s="25">
        <f>DATA</f>
        <v>41214</v>
      </c>
    </row>
    <row r="1018" spans="2:21" ht="20.100000000000001" customHeight="1">
      <c r="D1018" s="26" t="s">
        <v>77</v>
      </c>
      <c r="E1018" s="27"/>
      <c r="F1018" s="27"/>
      <c r="G1018" s="27"/>
      <c r="H1018" s="28"/>
      <c r="I1018" s="214" t="s">
        <v>78</v>
      </c>
      <c r="J1018" s="509" t="s">
        <v>79</v>
      </c>
      <c r="K1018" s="511"/>
      <c r="L1018" s="535" t="s">
        <v>80</v>
      </c>
      <c r="M1018" s="536"/>
      <c r="N1018" s="516" t="s">
        <v>81</v>
      </c>
    </row>
    <row r="1019" spans="2:21" ht="20.100000000000001" customHeight="1">
      <c r="D1019" s="31"/>
      <c r="E1019" s="32"/>
      <c r="F1019" s="32"/>
      <c r="G1019" s="32"/>
      <c r="H1019" s="33"/>
      <c r="I1019" s="34"/>
      <c r="J1019" s="51" t="s">
        <v>82</v>
      </c>
      <c r="K1019" s="51" t="s">
        <v>83</v>
      </c>
      <c r="L1019" s="51" t="s">
        <v>82</v>
      </c>
      <c r="M1019" s="51" t="s">
        <v>84</v>
      </c>
      <c r="N1019" s="517"/>
    </row>
    <row r="1020" spans="2:21" ht="20.100000000000001" customHeight="1">
      <c r="B1020" s="260" t="s">
        <v>262</v>
      </c>
      <c r="D1020" s="35" t="str">
        <f>IF(B1020=0,0,VLOOKUP(B1020,EQUIP,3,FALSE))</f>
        <v>CAMINHÃO BASCULANTE 10m3 - 15 T (170 KW)</v>
      </c>
      <c r="E1020" s="91"/>
      <c r="F1020" s="91"/>
      <c r="G1020" s="91"/>
      <c r="H1020" s="92"/>
      <c r="I1020" s="215">
        <v>0.1</v>
      </c>
      <c r="J1020" s="38">
        <v>1</v>
      </c>
      <c r="K1020" s="38">
        <f>1-J1020</f>
        <v>0</v>
      </c>
      <c r="L1020" s="215">
        <f>IF(B1020=0,0,VLOOKUP(B1020,EQUIP,6,FALSE))</f>
        <v>135.83000000000001</v>
      </c>
      <c r="M1020" s="38">
        <f>IF(B1020=0,0,VLOOKUP(B1020,EQUIP,7,FALSE))</f>
        <v>20.47</v>
      </c>
      <c r="N1020" s="269">
        <f>ROUND(J1020*L1020+K1020*M1020,2)</f>
        <v>135.83000000000001</v>
      </c>
    </row>
    <row r="1021" spans="2:21" ht="20.100000000000001" customHeight="1">
      <c r="B1021" s="260"/>
      <c r="D1021" s="264">
        <f>IF(B1021=0,0,VLOOKUP(B1021,EQUIP,3,FALSE))</f>
        <v>0</v>
      </c>
      <c r="E1021" s="265"/>
      <c r="F1021" s="265"/>
      <c r="G1021" s="265"/>
      <c r="H1021" s="266"/>
      <c r="I1021" s="263"/>
      <c r="J1021" s="318"/>
      <c r="K1021" s="318"/>
      <c r="L1021" s="318">
        <f>IF(B1021=0,0,VLOOKUP(B1021,EQUIP,6,FALSE))</f>
        <v>0</v>
      </c>
      <c r="M1021" s="318">
        <f>IF(B1021=0,0,VLOOKUP(B1021,EQUIP,7,FALSE))</f>
        <v>0</v>
      </c>
      <c r="N1021" s="319">
        <f>ROUND(J1021*L1021+K1021*M1021,2)</f>
        <v>0</v>
      </c>
    </row>
    <row r="1022" spans="2:21" ht="20.100000000000001" customHeight="1">
      <c r="B1022" s="260"/>
      <c r="D1022" s="264">
        <f>IF(B1022=0,0,VLOOKUP(B1022,EQUIP,3,FALSE))</f>
        <v>0</v>
      </c>
      <c r="E1022" s="265"/>
      <c r="F1022" s="265"/>
      <c r="G1022" s="265"/>
      <c r="H1022" s="266"/>
      <c r="I1022" s="263"/>
      <c r="J1022" s="318"/>
      <c r="K1022" s="318"/>
      <c r="L1022" s="318">
        <f>IF(B1022=0,0,VLOOKUP(B1022,EQUIP,6,FALSE))</f>
        <v>0</v>
      </c>
      <c r="M1022" s="318">
        <f>IF(B1022=0,0,VLOOKUP(B1022,EQUIP,7,FALSE))</f>
        <v>0</v>
      </c>
      <c r="N1022" s="319">
        <f>ROUND(J1022*L1022+K1022*M1022,2)</f>
        <v>0</v>
      </c>
    </row>
    <row r="1023" spans="2:21" ht="20.100000000000001" customHeight="1">
      <c r="B1023" s="260"/>
      <c r="D1023" s="264">
        <f>IF(B1023=0,0,VLOOKUP(B1023,EQUIP,3,FALSE))</f>
        <v>0</v>
      </c>
      <c r="E1023" s="265"/>
      <c r="F1023" s="265"/>
      <c r="G1023" s="265"/>
      <c r="H1023" s="266"/>
      <c r="I1023" s="263"/>
      <c r="J1023" s="318"/>
      <c r="K1023" s="318"/>
      <c r="L1023" s="318">
        <f>IF(B1023=0,0,VLOOKUP(B1023,EQUIP,6,FALSE))</f>
        <v>0</v>
      </c>
      <c r="M1023" s="318">
        <f>IF(B1023=0,0,VLOOKUP(B1023,EQUIP,7,FALSE))</f>
        <v>0</v>
      </c>
      <c r="N1023" s="319">
        <f>ROUND(J1023*L1023+K1023*M1023,2)</f>
        <v>0</v>
      </c>
    </row>
    <row r="1024" spans="2:21" ht="20.100000000000001" customHeight="1">
      <c r="B1024" s="260"/>
      <c r="D1024" s="264">
        <f>IF(B1024=0,0,VLOOKUP(B1024,EQUIP,3,FALSE))</f>
        <v>0</v>
      </c>
      <c r="E1024" s="265"/>
      <c r="F1024" s="265"/>
      <c r="G1024" s="265"/>
      <c r="H1024" s="266"/>
      <c r="I1024" s="318"/>
      <c r="J1024" s="318"/>
      <c r="K1024" s="318"/>
      <c r="L1024" s="318">
        <f>IF(B1024=0,0,VLOOKUP(B1024,EQUIP,6,FALSE))</f>
        <v>0</v>
      </c>
      <c r="M1024" s="318">
        <f>IF(B1024=0,0,VLOOKUP(B1024,EQUIP,7,FALSE))</f>
        <v>0</v>
      </c>
      <c r="N1024" s="319">
        <f>ROUND(J1024*L1024+K1024*M1024,2)</f>
        <v>0</v>
      </c>
    </row>
    <row r="1025" spans="2:14" ht="20.100000000000001" customHeight="1">
      <c r="D1025" s="155"/>
      <c r="E1025" s="156"/>
      <c r="F1025" s="156"/>
      <c r="G1025" s="156"/>
      <c r="H1025" s="156"/>
      <c r="I1025" s="235"/>
      <c r="J1025" s="157"/>
      <c r="K1025" s="157"/>
      <c r="L1025" s="216"/>
      <c r="M1025" s="42" t="s">
        <v>89</v>
      </c>
      <c r="N1025" s="270">
        <f>SUM(N1020:N1024)</f>
        <v>135.83000000000001</v>
      </c>
    </row>
    <row r="1026" spans="2:14" ht="3.95" customHeight="1">
      <c r="D1026" s="158"/>
      <c r="E1026" s="159"/>
      <c r="F1026" s="159"/>
      <c r="G1026" s="160"/>
      <c r="H1026" s="159"/>
      <c r="I1026" s="236"/>
      <c r="J1026" s="161"/>
      <c r="K1026" s="162"/>
      <c r="L1026" s="163"/>
      <c r="M1026" s="163"/>
      <c r="N1026" s="300"/>
    </row>
    <row r="1027" spans="2:14" ht="20.100000000000001" customHeight="1">
      <c r="D1027" s="518" t="s">
        <v>90</v>
      </c>
      <c r="E1027" s="519"/>
      <c r="F1027" s="519"/>
      <c r="G1027" s="519"/>
      <c r="H1027" s="519"/>
      <c r="I1027" s="519"/>
      <c r="J1027" s="513"/>
      <c r="K1027" s="50" t="s">
        <v>91</v>
      </c>
      <c r="L1027" s="51" t="s">
        <v>92</v>
      </c>
      <c r="M1027" s="51" t="s">
        <v>93</v>
      </c>
      <c r="N1027" s="272" t="s">
        <v>94</v>
      </c>
    </row>
    <row r="1028" spans="2:14" ht="20.100000000000001" customHeight="1">
      <c r="B1028" s="260" t="s">
        <v>247</v>
      </c>
      <c r="D1028" s="52" t="str">
        <f>IF(B1028=0,0,VLOOKUP(B1028,MO,2,FALSE))</f>
        <v>ENCARREGADO DE TURMA</v>
      </c>
      <c r="E1028" s="53"/>
      <c r="F1028" s="53"/>
      <c r="G1028" s="53"/>
      <c r="H1028" s="53"/>
      <c r="I1028" s="36"/>
      <c r="J1028" s="54"/>
      <c r="K1028" s="152"/>
      <c r="L1028" s="164">
        <v>1</v>
      </c>
      <c r="M1028" s="55">
        <f>IF(B1028=0,0,VLOOKUP(B1028,MO,6,FALSE))</f>
        <v>27</v>
      </c>
      <c r="N1028" s="301">
        <f>ROUND(L1028*M1028,2)</f>
        <v>27</v>
      </c>
    </row>
    <row r="1029" spans="2:14" ht="20.100000000000001" customHeight="1">
      <c r="B1029" s="260" t="s">
        <v>248</v>
      </c>
      <c r="D1029" s="52" t="str">
        <f>IF(B1029=0,0,VLOOKUP(B1029,MO,2,FALSE))</f>
        <v>SERVENTE</v>
      </c>
      <c r="E1029" s="53"/>
      <c r="F1029" s="53"/>
      <c r="G1029" s="53"/>
      <c r="H1029" s="53"/>
      <c r="I1029" s="36"/>
      <c r="J1029" s="54"/>
      <c r="K1029" s="152"/>
      <c r="L1029" s="164">
        <v>8</v>
      </c>
      <c r="M1029" s="55">
        <f>IF(B1029=0,0,VLOOKUP(B1029,MO,6,FALSE))</f>
        <v>7.9973000000000001</v>
      </c>
      <c r="N1029" s="301">
        <f>ROUND(L1029*M1029,2)</f>
        <v>63.98</v>
      </c>
    </row>
    <row r="1030" spans="2:14" ht="20.100000000000001" customHeight="1">
      <c r="B1030" s="260"/>
      <c r="D1030" s="52" t="s">
        <v>122</v>
      </c>
      <c r="E1030" s="53"/>
      <c r="F1030" s="53"/>
      <c r="G1030" s="53"/>
      <c r="H1030" s="53"/>
      <c r="I1030" s="36"/>
      <c r="J1030" s="54"/>
      <c r="K1030" s="165">
        <v>0.05</v>
      </c>
      <c r="L1030" s="166">
        <f>N1028+N1029</f>
        <v>90.97999999999999</v>
      </c>
      <c r="M1030" s="164"/>
      <c r="N1030" s="301">
        <f>ROUND(L1030*K1030,2)</f>
        <v>4.55</v>
      </c>
    </row>
    <row r="1031" spans="2:14" ht="20.100000000000001" customHeight="1">
      <c r="D1031" s="167"/>
      <c r="E1031" s="59"/>
      <c r="F1031" s="168"/>
      <c r="G1031" s="168"/>
      <c r="H1031" s="159"/>
      <c r="I1031" s="236"/>
      <c r="J1031" s="169"/>
      <c r="K1031" s="162"/>
      <c r="L1031" s="163"/>
      <c r="M1031" s="62" t="s">
        <v>98</v>
      </c>
      <c r="N1031" s="302">
        <f>SUM(N1028:N1030)</f>
        <v>95.529999999999987</v>
      </c>
    </row>
    <row r="1032" spans="2:14" ht="3.95" customHeight="1">
      <c r="D1032" s="158"/>
      <c r="E1032" s="159"/>
      <c r="F1032" s="159"/>
      <c r="G1032" s="159"/>
      <c r="H1032" s="159"/>
      <c r="I1032" s="236"/>
      <c r="J1032" s="169"/>
      <c r="K1032" s="162"/>
      <c r="L1032" s="163"/>
      <c r="M1032" s="163"/>
      <c r="N1032" s="300"/>
    </row>
    <row r="1033" spans="2:14" ht="20.100000000000001" customHeight="1">
      <c r="D1033" s="170"/>
      <c r="E1033" s="168"/>
      <c r="F1033" s="168"/>
      <c r="G1033" s="168"/>
      <c r="H1033" s="171"/>
      <c r="I1033" s="237"/>
      <c r="J1033" s="171"/>
      <c r="K1033" s="509" t="s">
        <v>99</v>
      </c>
      <c r="L1033" s="510"/>
      <c r="M1033" s="511"/>
      <c r="N1033" s="303">
        <f>+N1025+N1031</f>
        <v>231.36</v>
      </c>
    </row>
    <row r="1034" spans="2:14" ht="3.95" customHeight="1">
      <c r="D1034" s="172"/>
      <c r="E1034" s="159"/>
      <c r="F1034" s="159"/>
      <c r="G1034" s="160"/>
      <c r="H1034" s="159"/>
      <c r="I1034" s="236"/>
      <c r="J1034" s="161"/>
      <c r="K1034" s="162"/>
      <c r="L1034" s="163"/>
      <c r="M1034" s="163"/>
      <c r="N1034" s="300"/>
    </row>
    <row r="1035" spans="2:14" ht="20.100000000000001" customHeight="1">
      <c r="D1035" s="167"/>
      <c r="E1035" s="509" t="s">
        <v>100</v>
      </c>
      <c r="F1035" s="510"/>
      <c r="G1035" s="510"/>
      <c r="H1035" s="511"/>
      <c r="I1035" s="238">
        <v>2</v>
      </c>
      <c r="J1035" s="163"/>
      <c r="K1035" s="506" t="s">
        <v>101</v>
      </c>
      <c r="L1035" s="507"/>
      <c r="M1035" s="508"/>
      <c r="N1035" s="304">
        <f>ROUND(N1033/I1035,2)</f>
        <v>115.68</v>
      </c>
    </row>
    <row r="1036" spans="2:14" ht="3.95" customHeight="1">
      <c r="D1036" s="158"/>
      <c r="E1036" s="159"/>
      <c r="F1036" s="159"/>
      <c r="G1036" s="173"/>
      <c r="H1036" s="159"/>
      <c r="I1036" s="163"/>
      <c r="J1036" s="161"/>
      <c r="K1036" s="161"/>
      <c r="L1036" s="163"/>
      <c r="M1036" s="161"/>
      <c r="N1036" s="305"/>
    </row>
    <row r="1037" spans="2:14" ht="20.100000000000001" customHeight="1">
      <c r="D1037" s="49" t="s">
        <v>102</v>
      </c>
      <c r="E1037" s="22"/>
      <c r="F1037" s="22"/>
      <c r="G1037" s="22"/>
      <c r="H1037" s="22"/>
      <c r="I1037" s="141"/>
      <c r="J1037" s="23"/>
      <c r="K1037" s="50" t="s">
        <v>103</v>
      </c>
      <c r="L1037" s="51" t="s">
        <v>80</v>
      </c>
      <c r="M1037" s="51" t="s">
        <v>104</v>
      </c>
      <c r="N1037" s="272" t="s">
        <v>105</v>
      </c>
    </row>
    <row r="1038" spans="2:14" ht="20.100000000000001" customHeight="1">
      <c r="B1038" s="260"/>
      <c r="D1038" s="264">
        <f>IF(B1038=0,0,VLOOKUP(B1038,MAT,3,FALSE))</f>
        <v>0</v>
      </c>
      <c r="E1038" s="265"/>
      <c r="F1038" s="265"/>
      <c r="G1038" s="265"/>
      <c r="H1038" s="265"/>
      <c r="I1038" s="265"/>
      <c r="J1038" s="266"/>
      <c r="K1038" s="262">
        <f>IF(B1038=0,0,VLOOKUP(B1038,MAT,5,FALSE))</f>
        <v>0</v>
      </c>
      <c r="L1038" s="267">
        <f>IF(B1038=0,0,VLOOKUP(B1038,MAT,6,FALSE))</f>
        <v>0</v>
      </c>
      <c r="M1038" s="323"/>
      <c r="N1038" s="316">
        <f>ROUND(L1038*M1038,2)</f>
        <v>0</v>
      </c>
    </row>
    <row r="1039" spans="2:14" ht="20.100000000000001" customHeight="1">
      <c r="B1039" s="260"/>
      <c r="D1039" s="264">
        <f>IF(B1039=0,0,VLOOKUP(B1039,MAT,3,FALSE))</f>
        <v>0</v>
      </c>
      <c r="E1039" s="265"/>
      <c r="F1039" s="265"/>
      <c r="G1039" s="265"/>
      <c r="H1039" s="265"/>
      <c r="I1039" s="265"/>
      <c r="J1039" s="266"/>
      <c r="K1039" s="262">
        <f>IF(B1039=0,0,VLOOKUP(B1039,MAT,5,FALSE))</f>
        <v>0</v>
      </c>
      <c r="L1039" s="267">
        <f>IF(B1039=0,0,VLOOKUP(B1039,MAT,6,FALSE))</f>
        <v>0</v>
      </c>
      <c r="M1039" s="323"/>
      <c r="N1039" s="316">
        <f>ROUND(L1039*M1039,2)</f>
        <v>0</v>
      </c>
    </row>
    <row r="1040" spans="2:14" ht="20.100000000000001" customHeight="1">
      <c r="B1040" s="260"/>
      <c r="D1040" s="52"/>
      <c r="E1040" s="53"/>
      <c r="F1040" s="53"/>
      <c r="G1040" s="53"/>
      <c r="H1040" s="53"/>
      <c r="I1040" s="36"/>
      <c r="J1040" s="54"/>
      <c r="K1040" s="66"/>
      <c r="L1040" s="67"/>
      <c r="M1040" s="174"/>
      <c r="N1040" s="316">
        <f>ROUND(L1040*M1040,2)</f>
        <v>0</v>
      </c>
    </row>
    <row r="1041" spans="2:21" ht="20.100000000000001" customHeight="1">
      <c r="D1041" s="158"/>
      <c r="E1041" s="159"/>
      <c r="F1041" s="159"/>
      <c r="G1041" s="173"/>
      <c r="H1041" s="159"/>
      <c r="I1041" s="163"/>
      <c r="J1041" s="161"/>
      <c r="K1041" s="161"/>
      <c r="L1041" s="163"/>
      <c r="M1041" s="71" t="s">
        <v>106</v>
      </c>
      <c r="N1041" s="437">
        <f>SUM(N1038:N1040)</f>
        <v>0</v>
      </c>
    </row>
    <row r="1042" spans="2:21" ht="20.100000000000001" customHeight="1">
      <c r="D1042" s="158"/>
      <c r="E1042" s="159"/>
      <c r="F1042" s="159"/>
      <c r="G1042" s="173"/>
      <c r="H1042" s="159"/>
      <c r="I1042" s="163"/>
      <c r="J1042" s="161"/>
      <c r="K1042" s="161"/>
      <c r="L1042" s="163"/>
      <c r="M1042" s="161"/>
      <c r="N1042" s="305"/>
    </row>
    <row r="1043" spans="2:21" ht="20.100000000000001" customHeight="1">
      <c r="D1043" s="527" t="s">
        <v>107</v>
      </c>
      <c r="E1043" s="72" t="s">
        <v>2</v>
      </c>
      <c r="F1043" s="73"/>
      <c r="G1043" s="73"/>
      <c r="H1043" s="74"/>
      <c r="I1043" s="498" t="s">
        <v>108</v>
      </c>
      <c r="J1043" s="499"/>
      <c r="K1043" s="531" t="s">
        <v>103</v>
      </c>
      <c r="L1043" s="514" t="s">
        <v>80</v>
      </c>
      <c r="M1043" s="531" t="s">
        <v>109</v>
      </c>
      <c r="N1043" s="529" t="s">
        <v>105</v>
      </c>
    </row>
    <row r="1044" spans="2:21" ht="20.100000000000001" customHeight="1">
      <c r="D1044" s="528"/>
      <c r="E1044" s="512" t="s">
        <v>110</v>
      </c>
      <c r="F1044" s="513"/>
      <c r="G1044" s="512" t="s">
        <v>111</v>
      </c>
      <c r="H1044" s="513"/>
      <c r="I1044" s="500"/>
      <c r="J1044" s="501"/>
      <c r="K1044" s="532"/>
      <c r="L1044" s="515"/>
      <c r="M1044" s="532"/>
      <c r="N1044" s="530"/>
    </row>
    <row r="1045" spans="2:21" ht="21" customHeight="1">
      <c r="B1045" s="260"/>
      <c r="D1045" s="268">
        <f>IF(B1045=0,0,VLOOKUP(B1045,TRANS,3,FALSE))</f>
        <v>0</v>
      </c>
      <c r="E1045" s="581">
        <f>IF(B1045=0,0,VLOOKUP(B1045,TRANS,5,FALSE))</f>
        <v>0</v>
      </c>
      <c r="F1045" s="582"/>
      <c r="G1045" s="577"/>
      <c r="H1045" s="578"/>
      <c r="I1045" s="581"/>
      <c r="J1045" s="582">
        <v>50</v>
      </c>
      <c r="K1045" s="262">
        <f>IF(B1045=0,0,VLOOKUP(B1045,TRANS,4,FALSE))</f>
        <v>0</v>
      </c>
      <c r="L1045" s="267">
        <f>E1045*I1045</f>
        <v>0</v>
      </c>
      <c r="M1045" s="267"/>
      <c r="N1045" s="317">
        <f>ROUND(L1045*M1045,2)</f>
        <v>0</v>
      </c>
    </row>
    <row r="1046" spans="2:21" ht="21" customHeight="1">
      <c r="B1046" s="260"/>
      <c r="D1046" s="268">
        <f>IF(B1046=0,0,VLOOKUP(B1046,TRANS,3,FALSE))</f>
        <v>0</v>
      </c>
      <c r="E1046" s="581">
        <f>IF(B1046=0,0,VLOOKUP(B1046,TRANS,5,FALSE))</f>
        <v>0</v>
      </c>
      <c r="F1046" s="582"/>
      <c r="G1046" s="577"/>
      <c r="H1046" s="578"/>
      <c r="I1046" s="581"/>
      <c r="J1046" s="582">
        <v>10</v>
      </c>
      <c r="K1046" s="262">
        <f>IF(B1046=0,0,VLOOKUP(B1046,TRANS,4,FALSE))</f>
        <v>0</v>
      </c>
      <c r="L1046" s="267">
        <f>E1046*I1046</f>
        <v>0</v>
      </c>
      <c r="M1046" s="267"/>
      <c r="N1046" s="317">
        <f>ROUND(L1046*M1046,2)</f>
        <v>0</v>
      </c>
    </row>
    <row r="1047" spans="2:21" ht="21" customHeight="1">
      <c r="B1047" s="260"/>
      <c r="D1047" s="268">
        <f>IF(B1047=0,0,VLOOKUP(B1047,TRANS,3,FALSE))</f>
        <v>0</v>
      </c>
      <c r="E1047" s="581">
        <f>IF(B1047=0,0,VLOOKUP(B1047,TRANS,5,FALSE))</f>
        <v>0</v>
      </c>
      <c r="F1047" s="582"/>
      <c r="G1047" s="577"/>
      <c r="H1047" s="578"/>
      <c r="I1047" s="581"/>
      <c r="J1047" s="582">
        <v>10</v>
      </c>
      <c r="K1047" s="262">
        <f>IF(B1047=0,0,VLOOKUP(B1047,TRANS,4,FALSE))</f>
        <v>0</v>
      </c>
      <c r="L1047" s="267">
        <f>E1047*I1047</f>
        <v>0</v>
      </c>
      <c r="M1047" s="267"/>
      <c r="N1047" s="317">
        <f>ROUND(L1047*M1047,2)</f>
        <v>0</v>
      </c>
    </row>
    <row r="1048" spans="2:21" ht="20.100000000000001" customHeight="1">
      <c r="D1048" s="175"/>
      <c r="E1048" s="176"/>
      <c r="F1048" s="159"/>
      <c r="G1048" s="173"/>
      <c r="H1048" s="159"/>
      <c r="I1048" s="163"/>
      <c r="J1048" s="161"/>
      <c r="K1048" s="161"/>
      <c r="L1048" s="163"/>
      <c r="M1048" s="71" t="s">
        <v>112</v>
      </c>
      <c r="N1048" s="437">
        <f>SUM(N1045:N1047)</f>
        <v>0</v>
      </c>
    </row>
    <row r="1049" spans="2:21" ht="3.95" customHeight="1" thickBot="1">
      <c r="D1049" s="175"/>
      <c r="E1049" s="159"/>
      <c r="F1049" s="173"/>
      <c r="G1049" s="159"/>
      <c r="H1049" s="161"/>
      <c r="I1049" s="163"/>
      <c r="J1049" s="161"/>
      <c r="K1049" s="161"/>
      <c r="L1049" s="163"/>
      <c r="M1049" s="161"/>
      <c r="N1049" s="305"/>
    </row>
    <row r="1050" spans="2:21" ht="20.100000000000001" customHeight="1">
      <c r="D1050" s="177"/>
      <c r="E1050" s="178"/>
      <c r="F1050" s="178"/>
      <c r="G1050" s="178"/>
      <c r="H1050" s="179"/>
      <c r="I1050" s="239"/>
      <c r="J1050" s="127" t="s">
        <v>114</v>
      </c>
      <c r="K1050" s="128"/>
      <c r="L1050" s="306"/>
      <c r="M1050" s="129">
        <v>0</v>
      </c>
      <c r="N1050" s="447">
        <f>(+$N1035+$N1041+$N1048)*M1050</f>
        <v>0</v>
      </c>
    </row>
    <row r="1051" spans="2:21" ht="20.100000000000001" customHeight="1" thickBot="1">
      <c r="D1051" s="180"/>
      <c r="E1051" s="181"/>
      <c r="F1051" s="181"/>
      <c r="G1051" s="181"/>
      <c r="H1051" s="181"/>
      <c r="I1051" s="240"/>
      <c r="J1051" s="537" t="s">
        <v>149</v>
      </c>
      <c r="K1051" s="538"/>
      <c r="L1051" s="538"/>
      <c r="M1051" s="538"/>
      <c r="N1051" s="308">
        <f>+$N1035+$N1041+$N1048+N1050</f>
        <v>115.68</v>
      </c>
    </row>
    <row r="1052" spans="2:21" ht="20.100000000000001" customHeight="1" thickBot="1">
      <c r="D1052" s="182"/>
      <c r="E1052" s="183"/>
      <c r="F1052" s="183"/>
      <c r="G1052" s="183"/>
      <c r="H1052" s="183"/>
      <c r="I1052" s="241"/>
      <c r="J1052" s="184" t="s">
        <v>158</v>
      </c>
      <c r="K1052" s="185"/>
      <c r="L1052" s="309"/>
      <c r="M1052" s="186">
        <v>0</v>
      </c>
      <c r="N1052" s="310">
        <f>(M1052*N1051)+N1051</f>
        <v>115.68</v>
      </c>
      <c r="O1052" s="210"/>
      <c r="P1052" s="16">
        <v>48.42</v>
      </c>
      <c r="R1052" s="90">
        <f>(N1052/P1052)-1</f>
        <v>1.3890954151177199</v>
      </c>
    </row>
    <row r="1053" spans="2:21" ht="20.100000000000001" customHeight="1">
      <c r="D1053" s="161"/>
      <c r="E1053" s="161"/>
      <c r="F1053" s="161"/>
      <c r="G1053" s="161"/>
      <c r="H1053" s="161"/>
      <c r="I1053" s="163"/>
      <c r="J1053" s="154"/>
      <c r="K1053" s="168"/>
      <c r="L1053" s="313"/>
      <c r="M1053" s="314"/>
      <c r="N1053" s="315"/>
      <c r="O1053" s="210"/>
      <c r="R1053" s="90"/>
    </row>
    <row r="1054" spans="2:21" ht="20.100000000000001" customHeight="1">
      <c r="D1054" s="161"/>
      <c r="E1054" s="161"/>
      <c r="F1054" s="161"/>
      <c r="G1054" s="161"/>
      <c r="H1054" s="161"/>
      <c r="I1054" s="163"/>
      <c r="J1054" s="154"/>
      <c r="K1054" s="168"/>
      <c r="L1054" s="313"/>
      <c r="M1054" s="314"/>
      <c r="N1054" s="315"/>
      <c r="O1054" s="210"/>
      <c r="R1054" s="90"/>
    </row>
    <row r="1055" spans="2:21" ht="20.100000000000001" customHeight="1" thickBot="1"/>
    <row r="1056" spans="2:21" ht="20.100000000000001" customHeight="1">
      <c r="D1056" s="598" t="s">
        <v>509</v>
      </c>
      <c r="E1056" s="599"/>
      <c r="F1056" s="524" t="s">
        <v>74</v>
      </c>
      <c r="G1056" s="525"/>
      <c r="H1056" s="525"/>
      <c r="I1056" s="525"/>
      <c r="J1056" s="525"/>
      <c r="K1056" s="525"/>
      <c r="L1056" s="526"/>
      <c r="M1056" s="19" t="s">
        <v>75</v>
      </c>
      <c r="N1056" s="20" t="s">
        <v>76</v>
      </c>
      <c r="U1056" s="132">
        <f>N1094</f>
        <v>61.720000000000006</v>
      </c>
    </row>
    <row r="1057" spans="2:14" ht="20.100000000000001" customHeight="1">
      <c r="D1057" s="600"/>
      <c r="E1057" s="601"/>
      <c r="F1057" s="512" t="str">
        <f>MAT!D62</f>
        <v>USINAGEM DE BRITA GRADUADA</v>
      </c>
      <c r="G1057" s="519"/>
      <c r="H1057" s="519"/>
      <c r="I1057" s="519"/>
      <c r="J1057" s="519"/>
      <c r="K1057" s="519"/>
      <c r="L1057" s="513"/>
      <c r="M1057" s="24" t="s">
        <v>5</v>
      </c>
      <c r="N1057" s="25">
        <f>DATA</f>
        <v>41214</v>
      </c>
    </row>
    <row r="1058" spans="2:14" ht="20.100000000000001" customHeight="1">
      <c r="D1058" s="26" t="s">
        <v>77</v>
      </c>
      <c r="E1058" s="27"/>
      <c r="F1058" s="27"/>
      <c r="G1058" s="27"/>
      <c r="H1058" s="28"/>
      <c r="I1058" s="214" t="s">
        <v>78</v>
      </c>
      <c r="J1058" s="509" t="s">
        <v>79</v>
      </c>
      <c r="K1058" s="511"/>
      <c r="L1058" s="535" t="s">
        <v>80</v>
      </c>
      <c r="M1058" s="536"/>
      <c r="N1058" s="516" t="s">
        <v>81</v>
      </c>
    </row>
    <row r="1059" spans="2:14" ht="20.100000000000001" customHeight="1">
      <c r="D1059" s="31"/>
      <c r="E1059" s="32"/>
      <c r="F1059" s="32"/>
      <c r="G1059" s="32"/>
      <c r="H1059" s="33"/>
      <c r="I1059" s="34"/>
      <c r="J1059" s="51" t="s">
        <v>82</v>
      </c>
      <c r="K1059" s="51" t="s">
        <v>83</v>
      </c>
      <c r="L1059" s="51" t="s">
        <v>82</v>
      </c>
      <c r="M1059" s="51" t="s">
        <v>84</v>
      </c>
      <c r="N1059" s="517"/>
    </row>
    <row r="1060" spans="2:14" ht="20.100000000000001" customHeight="1">
      <c r="B1060" s="260" t="s">
        <v>286</v>
      </c>
      <c r="D1060" s="264" t="str">
        <f t="shared" ref="D1060:D1066" si="86">IF(B1060=0,0,VLOOKUP(B1060,EQUIP,3,FALSE))</f>
        <v>CARREGADEIRA DE PNEUS - 3,1 m³ (127KW)</v>
      </c>
      <c r="E1060" s="265"/>
      <c r="F1060" s="265"/>
      <c r="G1060" s="265"/>
      <c r="H1060" s="266"/>
      <c r="I1060" s="318">
        <v>1</v>
      </c>
      <c r="J1060" s="318">
        <v>0.93</v>
      </c>
      <c r="K1060" s="318">
        <f>1-J1060</f>
        <v>6.9999999999999951E-2</v>
      </c>
      <c r="L1060" s="318">
        <f t="shared" ref="L1060:L1066" si="87">IF(B1060=0,0,VLOOKUP(B1060,EQUIP,6,FALSE))</f>
        <v>185.29</v>
      </c>
      <c r="M1060" s="318">
        <f t="shared" ref="M1060:M1066" si="88">IF(B1060=0,0,VLOOKUP(B1060,EQUIP,7,FALSE))</f>
        <v>22.39</v>
      </c>
      <c r="N1060" s="319">
        <f t="shared" ref="N1060:N1066" si="89">ROUND(I1060*J1060*L1060+I1060*K1060*M1060,2)</f>
        <v>173.89</v>
      </c>
    </row>
    <row r="1061" spans="2:14" ht="20.100000000000001" customHeight="1">
      <c r="B1061" s="260" t="s">
        <v>419</v>
      </c>
      <c r="D1061" s="264" t="str">
        <f t="shared" si="86"/>
        <v>USINA MISTURADORA DE SOLOS 350/600 T/H (99 KW)</v>
      </c>
      <c r="E1061" s="265"/>
      <c r="F1061" s="265"/>
      <c r="G1061" s="265"/>
      <c r="H1061" s="266"/>
      <c r="I1061" s="263">
        <v>1</v>
      </c>
      <c r="J1061" s="263">
        <v>1</v>
      </c>
      <c r="K1061" s="318">
        <f>1-J1061</f>
        <v>0</v>
      </c>
      <c r="L1061" s="318">
        <f t="shared" si="87"/>
        <v>93.95</v>
      </c>
      <c r="M1061" s="318">
        <f t="shared" si="88"/>
        <v>23.67</v>
      </c>
      <c r="N1061" s="319">
        <f t="shared" si="89"/>
        <v>93.95</v>
      </c>
    </row>
    <row r="1062" spans="2:14" ht="20.100000000000001" customHeight="1">
      <c r="B1062" s="260" t="s">
        <v>393</v>
      </c>
      <c r="D1062" s="264" t="str">
        <f t="shared" si="86"/>
        <v>GRUPO GERADOR - 164/180 KVA (144kw)</v>
      </c>
      <c r="E1062" s="265"/>
      <c r="F1062" s="265"/>
      <c r="G1062" s="265"/>
      <c r="H1062" s="266"/>
      <c r="I1062" s="318">
        <v>1</v>
      </c>
      <c r="J1062" s="318">
        <v>1</v>
      </c>
      <c r="K1062" s="318">
        <f>1-J1062</f>
        <v>0</v>
      </c>
      <c r="L1062" s="318">
        <f t="shared" si="87"/>
        <v>87.45</v>
      </c>
      <c r="M1062" s="318">
        <f t="shared" si="88"/>
        <v>17.27</v>
      </c>
      <c r="N1062" s="319">
        <f t="shared" si="89"/>
        <v>87.45</v>
      </c>
    </row>
    <row r="1063" spans="2:14" ht="20.100000000000001" customHeight="1">
      <c r="B1063" s="260"/>
      <c r="D1063" s="264">
        <f t="shared" si="86"/>
        <v>0</v>
      </c>
      <c r="E1063" s="265"/>
      <c r="F1063" s="265"/>
      <c r="G1063" s="265"/>
      <c r="H1063" s="266"/>
      <c r="I1063" s="263"/>
      <c r="J1063" s="263"/>
      <c r="K1063" s="263"/>
      <c r="L1063" s="318">
        <f t="shared" si="87"/>
        <v>0</v>
      </c>
      <c r="M1063" s="318">
        <f t="shared" si="88"/>
        <v>0</v>
      </c>
      <c r="N1063" s="319">
        <f t="shared" si="89"/>
        <v>0</v>
      </c>
    </row>
    <row r="1064" spans="2:14" ht="20.100000000000001" customHeight="1">
      <c r="B1064" s="260"/>
      <c r="D1064" s="264">
        <f t="shared" si="86"/>
        <v>0</v>
      </c>
      <c r="E1064" s="265"/>
      <c r="F1064" s="265"/>
      <c r="G1064" s="265"/>
      <c r="H1064" s="266"/>
      <c r="I1064" s="263"/>
      <c r="J1064" s="263"/>
      <c r="K1064" s="263"/>
      <c r="L1064" s="318">
        <f t="shared" si="87"/>
        <v>0</v>
      </c>
      <c r="M1064" s="318">
        <f t="shared" si="88"/>
        <v>0</v>
      </c>
      <c r="N1064" s="319">
        <f t="shared" si="89"/>
        <v>0</v>
      </c>
    </row>
    <row r="1065" spans="2:14" ht="20.100000000000001" customHeight="1">
      <c r="B1065" s="260"/>
      <c r="D1065" s="264">
        <f t="shared" si="86"/>
        <v>0</v>
      </c>
      <c r="E1065" s="265"/>
      <c r="F1065" s="265"/>
      <c r="G1065" s="265"/>
      <c r="H1065" s="266"/>
      <c r="I1065" s="263"/>
      <c r="J1065" s="318"/>
      <c r="K1065" s="318"/>
      <c r="L1065" s="318">
        <f t="shared" si="87"/>
        <v>0</v>
      </c>
      <c r="M1065" s="318">
        <f t="shared" si="88"/>
        <v>0</v>
      </c>
      <c r="N1065" s="319">
        <f t="shared" si="89"/>
        <v>0</v>
      </c>
    </row>
    <row r="1066" spans="2:14" ht="20.100000000000001" customHeight="1">
      <c r="B1066" s="260"/>
      <c r="D1066" s="264">
        <f t="shared" si="86"/>
        <v>0</v>
      </c>
      <c r="E1066" s="265"/>
      <c r="F1066" s="265"/>
      <c r="G1066" s="265"/>
      <c r="H1066" s="266"/>
      <c r="I1066" s="263"/>
      <c r="J1066" s="318"/>
      <c r="K1066" s="318"/>
      <c r="L1066" s="318">
        <f t="shared" si="87"/>
        <v>0</v>
      </c>
      <c r="M1066" s="318">
        <f t="shared" si="88"/>
        <v>0</v>
      </c>
      <c r="N1066" s="319">
        <f t="shared" si="89"/>
        <v>0</v>
      </c>
    </row>
    <row r="1067" spans="2:14" ht="20.100000000000001" customHeight="1">
      <c r="D1067" s="155"/>
      <c r="E1067" s="156"/>
      <c r="F1067" s="156"/>
      <c r="G1067" s="156"/>
      <c r="H1067" s="156"/>
      <c r="I1067" s="235"/>
      <c r="J1067" s="157"/>
      <c r="K1067" s="157"/>
      <c r="L1067" s="216"/>
      <c r="M1067" s="42" t="s">
        <v>89</v>
      </c>
      <c r="N1067" s="270">
        <f>SUM(N1060:N1066)</f>
        <v>355.28999999999996</v>
      </c>
    </row>
    <row r="1068" spans="2:14" ht="3.95" customHeight="1">
      <c r="D1068" s="158"/>
      <c r="E1068" s="159"/>
      <c r="F1068" s="159"/>
      <c r="G1068" s="160"/>
      <c r="H1068" s="159"/>
      <c r="I1068" s="236"/>
      <c r="J1068" s="161"/>
      <c r="K1068" s="162"/>
      <c r="L1068" s="163"/>
      <c r="M1068" s="163"/>
      <c r="N1068" s="300"/>
    </row>
    <row r="1069" spans="2:14" ht="20.100000000000001" customHeight="1">
      <c r="D1069" s="518" t="s">
        <v>90</v>
      </c>
      <c r="E1069" s="519"/>
      <c r="F1069" s="519"/>
      <c r="G1069" s="519"/>
      <c r="H1069" s="519"/>
      <c r="I1069" s="519"/>
      <c r="J1069" s="513"/>
      <c r="K1069" s="50" t="s">
        <v>91</v>
      </c>
      <c r="L1069" s="51" t="s">
        <v>92</v>
      </c>
      <c r="M1069" s="51" t="s">
        <v>93</v>
      </c>
      <c r="N1069" s="272" t="s">
        <v>94</v>
      </c>
    </row>
    <row r="1070" spans="2:14" ht="20.100000000000001" customHeight="1">
      <c r="B1070" s="260" t="s">
        <v>247</v>
      </c>
      <c r="D1070" s="264" t="str">
        <f>IF(B1070=0,0,VLOOKUP(B1070,MO,2,FALSE))</f>
        <v>ENCARREGADO DE TURMA</v>
      </c>
      <c r="E1070" s="53"/>
      <c r="F1070" s="53"/>
      <c r="G1070" s="53"/>
      <c r="H1070" s="53"/>
      <c r="I1070" s="36"/>
      <c r="J1070" s="54"/>
      <c r="K1070" s="152"/>
      <c r="L1070" s="164">
        <v>1</v>
      </c>
      <c r="M1070" s="263">
        <f>IF(B1070=0,0,VLOOKUP(B1070,MO,6,FALSE))</f>
        <v>27</v>
      </c>
      <c r="N1070" s="316">
        <f>ROUND(L1070*M1070,2)</f>
        <v>27</v>
      </c>
    </row>
    <row r="1071" spans="2:14" ht="20.100000000000001" customHeight="1">
      <c r="B1071" s="260" t="s">
        <v>248</v>
      </c>
      <c r="D1071" s="264" t="str">
        <f>IF(B1071=0,0,VLOOKUP(B1071,MO,2,FALSE))</f>
        <v>SERVENTE</v>
      </c>
      <c r="E1071" s="53"/>
      <c r="F1071" s="53"/>
      <c r="G1071" s="53"/>
      <c r="H1071" s="53"/>
      <c r="I1071" s="36"/>
      <c r="J1071" s="54"/>
      <c r="K1071" s="152"/>
      <c r="L1071" s="164">
        <v>5</v>
      </c>
      <c r="M1071" s="263">
        <f>IF(B1071=0,0,VLOOKUP(B1071,MO,6,FALSE))</f>
        <v>7.9973000000000001</v>
      </c>
      <c r="N1071" s="316">
        <f>ROUND(L1071*M1071,2)</f>
        <v>39.99</v>
      </c>
    </row>
    <row r="1072" spans="2:14" ht="20.100000000000001" customHeight="1">
      <c r="B1072" s="260"/>
      <c r="D1072" s="52" t="s">
        <v>122</v>
      </c>
      <c r="E1072" s="53"/>
      <c r="F1072" s="53"/>
      <c r="G1072" s="53"/>
      <c r="H1072" s="53"/>
      <c r="I1072" s="36"/>
      <c r="J1072" s="54"/>
      <c r="K1072" s="165">
        <v>0</v>
      </c>
      <c r="L1072" s="320">
        <f>N1070+N1071</f>
        <v>66.990000000000009</v>
      </c>
      <c r="M1072" s="164"/>
      <c r="N1072" s="316">
        <f>ROUND(L1072*K1072,2)</f>
        <v>0</v>
      </c>
    </row>
    <row r="1073" spans="2:14" ht="20.100000000000001" customHeight="1">
      <c r="D1073" s="167"/>
      <c r="E1073" s="59"/>
      <c r="F1073" s="168"/>
      <c r="G1073" s="168"/>
      <c r="H1073" s="159"/>
      <c r="I1073" s="236"/>
      <c r="J1073" s="169"/>
      <c r="K1073" s="162"/>
      <c r="L1073" s="163"/>
      <c r="M1073" s="62" t="s">
        <v>98</v>
      </c>
      <c r="N1073" s="302">
        <f>SUM(N1070:N1072)</f>
        <v>66.990000000000009</v>
      </c>
    </row>
    <row r="1074" spans="2:14" ht="3.95" customHeight="1">
      <c r="D1074" s="158"/>
      <c r="E1074" s="159"/>
      <c r="F1074" s="159"/>
      <c r="G1074" s="159"/>
      <c r="H1074" s="159"/>
      <c r="I1074" s="236"/>
      <c r="J1074" s="169"/>
      <c r="K1074" s="162"/>
      <c r="L1074" s="163"/>
      <c r="M1074" s="163"/>
      <c r="N1074" s="300"/>
    </row>
    <row r="1075" spans="2:14" ht="20.100000000000001" customHeight="1">
      <c r="D1075" s="170"/>
      <c r="E1075" s="168"/>
      <c r="F1075" s="168"/>
      <c r="G1075" s="168"/>
      <c r="H1075" s="171"/>
      <c r="I1075" s="237"/>
      <c r="J1075" s="171"/>
      <c r="K1075" s="509" t="s">
        <v>99</v>
      </c>
      <c r="L1075" s="510"/>
      <c r="M1075" s="511"/>
      <c r="N1075" s="303">
        <f>+N1067+N1073</f>
        <v>422.28</v>
      </c>
    </row>
    <row r="1076" spans="2:14" ht="3.95" customHeight="1">
      <c r="D1076" s="172"/>
      <c r="E1076" s="159"/>
      <c r="F1076" s="159"/>
      <c r="G1076" s="160"/>
      <c r="H1076" s="159"/>
      <c r="I1076" s="236"/>
      <c r="J1076" s="161"/>
      <c r="K1076" s="162"/>
      <c r="L1076" s="163"/>
      <c r="M1076" s="163"/>
      <c r="N1076" s="300"/>
    </row>
    <row r="1077" spans="2:14" ht="20.100000000000001" customHeight="1">
      <c r="D1077" s="167"/>
      <c r="E1077" s="509" t="s">
        <v>100</v>
      </c>
      <c r="F1077" s="510"/>
      <c r="G1077" s="510"/>
      <c r="H1077" s="511"/>
      <c r="I1077" s="238">
        <v>121</v>
      </c>
      <c r="J1077" s="163"/>
      <c r="K1077" s="506" t="s">
        <v>101</v>
      </c>
      <c r="L1077" s="507"/>
      <c r="M1077" s="508"/>
      <c r="N1077" s="304">
        <f>ROUND(N1075/I1077,2)</f>
        <v>3.49</v>
      </c>
    </row>
    <row r="1078" spans="2:14" ht="3.95" customHeight="1">
      <c r="D1078" s="158"/>
      <c r="E1078" s="159"/>
      <c r="F1078" s="159"/>
      <c r="G1078" s="173"/>
      <c r="H1078" s="159"/>
      <c r="I1078" s="163"/>
      <c r="J1078" s="161"/>
      <c r="K1078" s="161"/>
      <c r="L1078" s="163"/>
      <c r="M1078" s="161"/>
      <c r="N1078" s="305"/>
    </row>
    <row r="1079" spans="2:14" ht="20.100000000000001" customHeight="1">
      <c r="D1079" s="49" t="s">
        <v>102</v>
      </c>
      <c r="E1079" s="22"/>
      <c r="F1079" s="22"/>
      <c r="G1079" s="22"/>
      <c r="H1079" s="22"/>
      <c r="I1079" s="141"/>
      <c r="J1079" s="23"/>
      <c r="K1079" s="50" t="s">
        <v>103</v>
      </c>
      <c r="L1079" s="51" t="s">
        <v>80</v>
      </c>
      <c r="M1079" s="51" t="s">
        <v>104</v>
      </c>
      <c r="N1079" s="272" t="s">
        <v>105</v>
      </c>
    </row>
    <row r="1080" spans="2:14" ht="20.100000000000001" customHeight="1">
      <c r="B1080" s="260" t="s">
        <v>409</v>
      </c>
      <c r="D1080" s="264" t="str">
        <f>IF(B1080=0,0,VLOOKUP(B1080,MAT,3,FALSE))</f>
        <v>ESCAVAÇÃO E CARGA DE MATERIAL DE JAZIDA (CONST. E RESTR.)</v>
      </c>
      <c r="E1080" s="53"/>
      <c r="F1080" s="53"/>
      <c r="G1080" s="53"/>
      <c r="H1080" s="53"/>
      <c r="I1080" s="36"/>
      <c r="J1080" s="54"/>
      <c r="K1080" s="262" t="str">
        <f>IF(B1080=0,0,VLOOKUP(B1080,MAT,5,FALSE))</f>
        <v>M3</v>
      </c>
      <c r="L1080" s="267">
        <f>IF(B1080=0,0,VLOOKUP(B1080,MAT,6,FALSE))</f>
        <v>10.77</v>
      </c>
      <c r="M1080" s="174">
        <v>1.24</v>
      </c>
      <c r="N1080" s="316">
        <f>ROUND(L1080*M1080,2)</f>
        <v>13.35</v>
      </c>
    </row>
    <row r="1081" spans="2:14" ht="20.100000000000001" customHeight="1">
      <c r="B1081" s="260" t="s">
        <v>445</v>
      </c>
      <c r="D1081" s="264" t="str">
        <f>IF(B1081=0,0,VLOOKUP(B1081,MAT,3,FALSE))</f>
        <v>CIMENTO PORTLAND CP-32</v>
      </c>
      <c r="E1081" s="53"/>
      <c r="F1081" s="53"/>
      <c r="G1081" s="53"/>
      <c r="H1081" s="53"/>
      <c r="I1081" s="36"/>
      <c r="J1081" s="54"/>
      <c r="K1081" s="262" t="str">
        <f>IF(B1081=0,0,VLOOKUP(B1081,MAT,5,FALSE))</f>
        <v>KG</v>
      </c>
      <c r="L1081" s="267">
        <f>IF(B1081=0,0,VLOOKUP(B1081,MAT,6,FALSE))</f>
        <v>0.35620000000000002</v>
      </c>
      <c r="M1081" s="174">
        <v>126</v>
      </c>
      <c r="N1081" s="316">
        <f>ROUND(L1081*M1081,2)</f>
        <v>44.88</v>
      </c>
    </row>
    <row r="1082" spans="2:14" ht="20.100000000000001" customHeight="1">
      <c r="B1082" s="260"/>
      <c r="D1082" s="264">
        <f>IF(B1082=0,0,VLOOKUP(B1082,MAT,3,FALSE))</f>
        <v>0</v>
      </c>
      <c r="E1082" s="53"/>
      <c r="F1082" s="53"/>
      <c r="G1082" s="53"/>
      <c r="H1082" s="53"/>
      <c r="I1082" s="36"/>
      <c r="J1082" s="54"/>
      <c r="K1082" s="262">
        <f>IF(B1082=0,0,VLOOKUP(B1082,MAT,5,FALSE))</f>
        <v>0</v>
      </c>
      <c r="L1082" s="267">
        <f>IF(B1082=0,0,VLOOKUP(B1082,MAT,6,FALSE))</f>
        <v>0</v>
      </c>
      <c r="M1082" s="174"/>
      <c r="N1082" s="316">
        <f>ROUND(L1082*M1082,2)</f>
        <v>0</v>
      </c>
    </row>
    <row r="1083" spans="2:14" ht="20.100000000000001" customHeight="1">
      <c r="B1083" s="260"/>
      <c r="D1083" s="264">
        <f>IF(B1083=0,0,VLOOKUP(B1083,MAT,3,FALSE))</f>
        <v>0</v>
      </c>
      <c r="E1083" s="53"/>
      <c r="F1083" s="53"/>
      <c r="G1083" s="53"/>
      <c r="H1083" s="53"/>
      <c r="I1083" s="36"/>
      <c r="J1083" s="54"/>
      <c r="K1083" s="262">
        <f>IF(B1083=0,0,VLOOKUP(B1083,MAT,5,FALSE))</f>
        <v>0</v>
      </c>
      <c r="L1083" s="267">
        <f>IF(B1083=0,0,VLOOKUP(B1083,MAT,6,FALSE))</f>
        <v>0</v>
      </c>
      <c r="M1083" s="174"/>
      <c r="N1083" s="316">
        <f>ROUND(L1083*M1083,2)</f>
        <v>0</v>
      </c>
    </row>
    <row r="1084" spans="2:14" ht="20.100000000000001" customHeight="1">
      <c r="D1084" s="158"/>
      <c r="E1084" s="159"/>
      <c r="F1084" s="159"/>
      <c r="G1084" s="173"/>
      <c r="H1084" s="159"/>
      <c r="I1084" s="163"/>
      <c r="J1084" s="161"/>
      <c r="K1084" s="161"/>
      <c r="L1084" s="163"/>
      <c r="M1084" s="71" t="s">
        <v>106</v>
      </c>
      <c r="N1084" s="302">
        <f>SUM(N1080:N1083)</f>
        <v>58.230000000000004</v>
      </c>
    </row>
    <row r="1085" spans="2:14" ht="20.100000000000001" customHeight="1">
      <c r="D1085" s="158"/>
      <c r="E1085" s="159"/>
      <c r="F1085" s="159"/>
      <c r="G1085" s="173"/>
      <c r="H1085" s="159"/>
      <c r="I1085" s="163"/>
      <c r="J1085" s="161"/>
      <c r="K1085" s="161"/>
      <c r="L1085" s="163"/>
      <c r="M1085" s="161"/>
      <c r="N1085" s="305"/>
    </row>
    <row r="1086" spans="2:14" ht="20.100000000000001" customHeight="1">
      <c r="D1086" s="527" t="s">
        <v>107</v>
      </c>
      <c r="E1086" s="72" t="s">
        <v>2</v>
      </c>
      <c r="F1086" s="73"/>
      <c r="G1086" s="73"/>
      <c r="H1086" s="74"/>
      <c r="I1086" s="498" t="s">
        <v>108</v>
      </c>
      <c r="J1086" s="499"/>
      <c r="K1086" s="531" t="s">
        <v>103</v>
      </c>
      <c r="L1086" s="514" t="s">
        <v>80</v>
      </c>
      <c r="M1086" s="531" t="s">
        <v>109</v>
      </c>
      <c r="N1086" s="529" t="s">
        <v>105</v>
      </c>
    </row>
    <row r="1087" spans="2:14" ht="20.100000000000001" customHeight="1">
      <c r="D1087" s="528"/>
      <c r="E1087" s="512" t="s">
        <v>110</v>
      </c>
      <c r="F1087" s="513"/>
      <c r="G1087" s="512" t="s">
        <v>111</v>
      </c>
      <c r="H1087" s="513"/>
      <c r="I1087" s="500"/>
      <c r="J1087" s="501"/>
      <c r="K1087" s="532"/>
      <c r="L1087" s="515"/>
      <c r="M1087" s="532"/>
      <c r="N1087" s="530"/>
    </row>
    <row r="1088" spans="2:14" ht="20.100000000000001" customHeight="1">
      <c r="B1088" s="260"/>
      <c r="D1088" s="261">
        <f>IF(B1088=0,0,VLOOKUP(B1088,TRANS,3,FALSE))</f>
        <v>0</v>
      </c>
      <c r="E1088" s="581">
        <f>IF(B1088=0,0,VLOOKUP(B1088,TRANS,5,FALSE))</f>
        <v>0</v>
      </c>
      <c r="F1088" s="582"/>
      <c r="G1088" s="502"/>
      <c r="H1088" s="503"/>
      <c r="I1088" s="533"/>
      <c r="J1088" s="534">
        <v>50</v>
      </c>
      <c r="K1088" s="262">
        <f>IF(B1088=0,0,VLOOKUP(B1088,TRANS,4,FALSE))</f>
        <v>0</v>
      </c>
      <c r="L1088" s="267">
        <f>E1088*I1088</f>
        <v>0</v>
      </c>
      <c r="M1088" s="70"/>
      <c r="N1088" s="317">
        <f>ROUND(L1088*M1088,2)</f>
        <v>0</v>
      </c>
    </row>
    <row r="1089" spans="2:18" ht="20.100000000000001" customHeight="1">
      <c r="B1089" s="260"/>
      <c r="D1089" s="261"/>
      <c r="E1089" s="504"/>
      <c r="F1089" s="505"/>
      <c r="G1089" s="502"/>
      <c r="H1089" s="503"/>
      <c r="I1089" s="533"/>
      <c r="J1089" s="534"/>
      <c r="K1089" s="66"/>
      <c r="L1089" s="67"/>
      <c r="M1089" s="70"/>
      <c r="N1089" s="278"/>
    </row>
    <row r="1090" spans="2:18" ht="20.100000000000001" customHeight="1">
      <c r="D1090" s="175"/>
      <c r="E1090" s="176"/>
      <c r="F1090" s="159"/>
      <c r="G1090" s="173"/>
      <c r="H1090" s="159"/>
      <c r="I1090" s="163"/>
      <c r="J1090" s="161"/>
      <c r="K1090" s="161"/>
      <c r="L1090" s="163"/>
      <c r="M1090" s="71" t="s">
        <v>112</v>
      </c>
      <c r="N1090" s="437">
        <f>SUM(N1088:N1089)</f>
        <v>0</v>
      </c>
    </row>
    <row r="1091" spans="2:18" ht="3.95" customHeight="1" thickBot="1">
      <c r="D1091" s="175"/>
      <c r="E1091" s="159"/>
      <c r="F1091" s="173"/>
      <c r="G1091" s="159"/>
      <c r="H1091" s="161"/>
      <c r="I1091" s="163"/>
      <c r="J1091" s="161"/>
      <c r="K1091" s="161"/>
      <c r="L1091" s="163"/>
      <c r="M1091" s="161"/>
      <c r="N1091" s="305"/>
    </row>
    <row r="1092" spans="2:18" ht="20.100000000000001" customHeight="1">
      <c r="D1092" s="177"/>
      <c r="E1092" s="178"/>
      <c r="F1092" s="178"/>
      <c r="G1092" s="178"/>
      <c r="H1092" s="179"/>
      <c r="I1092" s="239"/>
      <c r="J1092" s="127" t="s">
        <v>114</v>
      </c>
      <c r="K1092" s="128"/>
      <c r="L1092" s="306"/>
      <c r="M1092" s="129">
        <v>0</v>
      </c>
      <c r="N1092" s="447">
        <f>(+$N1077+$N1084+$N1090)*M1092</f>
        <v>0</v>
      </c>
    </row>
    <row r="1093" spans="2:18" ht="20.100000000000001" customHeight="1" thickBot="1">
      <c r="D1093" s="180"/>
      <c r="E1093" s="181"/>
      <c r="F1093" s="181"/>
      <c r="G1093" s="181"/>
      <c r="H1093" s="181"/>
      <c r="I1093" s="240"/>
      <c r="J1093" s="537" t="s">
        <v>149</v>
      </c>
      <c r="K1093" s="538"/>
      <c r="L1093" s="538"/>
      <c r="M1093" s="538"/>
      <c r="N1093" s="308">
        <f>+$N1077+$N1084+$N1090+N1092</f>
        <v>61.720000000000006</v>
      </c>
    </row>
    <row r="1094" spans="2:18" ht="20.100000000000001" customHeight="1" thickBot="1">
      <c r="D1094" s="182"/>
      <c r="E1094" s="183"/>
      <c r="F1094" s="183"/>
      <c r="G1094" s="183"/>
      <c r="H1094" s="183"/>
      <c r="I1094" s="241"/>
      <c r="J1094" s="184" t="s">
        <v>158</v>
      </c>
      <c r="K1094" s="185"/>
      <c r="L1094" s="309"/>
      <c r="M1094" s="186">
        <v>0</v>
      </c>
      <c r="N1094" s="310">
        <f>(M1094*N1093)+N1093</f>
        <v>61.720000000000006</v>
      </c>
      <c r="O1094" s="210"/>
      <c r="P1094" s="16">
        <v>48.42</v>
      </c>
      <c r="R1094" s="90">
        <f>(N1094/P1094)-1</f>
        <v>0.27467988434531199</v>
      </c>
    </row>
    <row r="1096" spans="2:18" ht="20.100000000000001" customHeight="1" thickBot="1"/>
    <row r="1097" spans="2:18" ht="20.100000000000001" customHeight="1">
      <c r="B1097" s="197" t="s">
        <v>198</v>
      </c>
      <c r="D1097" s="598" t="s">
        <v>312</v>
      </c>
      <c r="E1097" s="599"/>
      <c r="F1097" s="524" t="s">
        <v>74</v>
      </c>
      <c r="G1097" s="525"/>
      <c r="H1097" s="525"/>
      <c r="I1097" s="525"/>
      <c r="J1097" s="525"/>
      <c r="K1097" s="525"/>
      <c r="L1097" s="526"/>
      <c r="M1097" s="19" t="s">
        <v>75</v>
      </c>
      <c r="N1097" s="20" t="s">
        <v>76</v>
      </c>
      <c r="O1097" s="389"/>
    </row>
    <row r="1098" spans="2:18" ht="20.100000000000001" customHeight="1">
      <c r="D1098" s="600"/>
      <c r="E1098" s="601"/>
      <c r="F1098" s="512" t="str">
        <f>VLOOKUP(B1097,Resumo_Composições,3,FALSE)</f>
        <v>IMPRIMAÇÃO</v>
      </c>
      <c r="G1098" s="519"/>
      <c r="H1098" s="519"/>
      <c r="I1098" s="519"/>
      <c r="J1098" s="519"/>
      <c r="K1098" s="519"/>
      <c r="L1098" s="513"/>
      <c r="M1098" s="24" t="str">
        <f>VLOOKUP(B1097,Resumo_Composições,4,FALSE)</f>
        <v>M2</v>
      </c>
      <c r="N1098" s="25">
        <f>DATA</f>
        <v>41214</v>
      </c>
      <c r="O1098" s="389"/>
    </row>
    <row r="1099" spans="2:18" ht="20.100000000000001" customHeight="1">
      <c r="D1099" s="26" t="s">
        <v>77</v>
      </c>
      <c r="E1099" s="27"/>
      <c r="F1099" s="27"/>
      <c r="G1099" s="27"/>
      <c r="H1099" s="28"/>
      <c r="I1099" s="214" t="s">
        <v>78</v>
      </c>
      <c r="J1099" s="535" t="s">
        <v>79</v>
      </c>
      <c r="K1099" s="536"/>
      <c r="L1099" s="535" t="s">
        <v>80</v>
      </c>
      <c r="M1099" s="536"/>
      <c r="N1099" s="516" t="s">
        <v>81</v>
      </c>
      <c r="O1099" s="389"/>
    </row>
    <row r="1100" spans="2:18" ht="20.100000000000001" customHeight="1">
      <c r="D1100" s="31"/>
      <c r="E1100" s="32"/>
      <c r="F1100" s="32"/>
      <c r="G1100" s="32"/>
      <c r="H1100" s="33"/>
      <c r="I1100" s="34"/>
      <c r="J1100" s="51" t="s">
        <v>82</v>
      </c>
      <c r="K1100" s="51" t="s">
        <v>83</v>
      </c>
      <c r="L1100" s="51" t="s">
        <v>82</v>
      </c>
      <c r="M1100" s="51" t="s">
        <v>84</v>
      </c>
      <c r="N1100" s="517"/>
      <c r="O1100" s="389"/>
    </row>
    <row r="1101" spans="2:18" ht="20.100000000000001" customHeight="1">
      <c r="B1101" s="260" t="s">
        <v>263</v>
      </c>
      <c r="D1101" s="35" t="str">
        <f>IF(B1101=0,0,VLOOKUP(B1101,EQUIP,3,FALSE))</f>
        <v>CAMINHÃO ESPARGIDOR</v>
      </c>
      <c r="E1101" s="36"/>
      <c r="F1101" s="36"/>
      <c r="G1101" s="36"/>
      <c r="H1101" s="37"/>
      <c r="I1101" s="215">
        <v>1</v>
      </c>
      <c r="J1101" s="38">
        <v>1</v>
      </c>
      <c r="K1101" s="38">
        <v>0</v>
      </c>
      <c r="L1101" s="215">
        <f>IF(B1101=0,0,VLOOKUP(B1101,EQUIP,6,FALSE))</f>
        <v>123.34643018381168</v>
      </c>
      <c r="M1101" s="38">
        <f>IF(B1101=0,0,VLOOKUP(B1101,EQUIP,7,FALSE))</f>
        <v>20.47</v>
      </c>
      <c r="N1101" s="269">
        <f>ROUND(I1101*J1101*L1101+I1101*K1101*M1101,2)</f>
        <v>123.35</v>
      </c>
      <c r="O1101" s="389"/>
    </row>
    <row r="1102" spans="2:18" ht="20.100000000000001" customHeight="1">
      <c r="B1102" s="260" t="s">
        <v>292</v>
      </c>
      <c r="D1102" s="35" t="str">
        <f>IF(B1102=0,0,VLOOKUP(B1102,EQUIP,3,FALSE))</f>
        <v>TRATOR AGRICOLA (77 KW)</v>
      </c>
      <c r="E1102" s="36"/>
      <c r="F1102" s="36"/>
      <c r="G1102" s="36"/>
      <c r="H1102" s="37"/>
      <c r="I1102" s="215">
        <v>1</v>
      </c>
      <c r="J1102" s="38">
        <v>0.35</v>
      </c>
      <c r="K1102" s="38">
        <v>0.65</v>
      </c>
      <c r="L1102" s="215">
        <f>IF(B1102=0,0,VLOOKUP(B1102,EQUIP,6,FALSE))</f>
        <v>65.799899999999994</v>
      </c>
      <c r="M1102" s="38">
        <f>IF(B1102=0,0,VLOOKUP(B1102,EQUIP,7,FALSE))</f>
        <v>17.27</v>
      </c>
      <c r="N1102" s="269">
        <f>ROUND(I1102*J1102*L1102+I1102*K1102*M1102,2)</f>
        <v>34.26</v>
      </c>
      <c r="O1102" s="389"/>
    </row>
    <row r="1103" spans="2:18" ht="20.100000000000001" customHeight="1">
      <c r="B1103" s="260" t="s">
        <v>290</v>
      </c>
      <c r="D1103" s="35" t="str">
        <f>IF(B1103=0,0,VLOOKUP(B1103,EQUIP,3,FALSE))</f>
        <v>TANQUE DE ESTOCAGEM DE ASFALTO - 20.000l</v>
      </c>
      <c r="E1103" s="36"/>
      <c r="F1103" s="36"/>
      <c r="G1103" s="36"/>
      <c r="H1103" s="37"/>
      <c r="I1103" s="55">
        <v>2</v>
      </c>
      <c r="J1103" s="39">
        <v>1</v>
      </c>
      <c r="K1103" s="39">
        <v>0</v>
      </c>
      <c r="L1103" s="215">
        <f>IF(B1103=0,0,VLOOKUP(B1103,EQUIP,6,FALSE))</f>
        <v>5.1100000000000003</v>
      </c>
      <c r="M1103" s="38">
        <f>IF(B1103=0,0,VLOOKUP(B1103,EQUIP,7,FALSE))</f>
        <v>0</v>
      </c>
      <c r="N1103" s="269">
        <f>ROUND(I1103*J1103*L1103+I1103*K1103*M1103,2)</f>
        <v>10.220000000000001</v>
      </c>
      <c r="O1103" s="389"/>
    </row>
    <row r="1104" spans="2:18" ht="20.100000000000001" customHeight="1">
      <c r="B1104" s="260" t="s">
        <v>295</v>
      </c>
      <c r="D1104" s="35" t="str">
        <f>IF(B1104=0,0,VLOOKUP(B1104,EQUIP,3,FALSE))</f>
        <v>VASSOURA</v>
      </c>
      <c r="E1104" s="36"/>
      <c r="F1104" s="36"/>
      <c r="G1104" s="36"/>
      <c r="H1104" s="37"/>
      <c r="I1104" s="55">
        <v>1</v>
      </c>
      <c r="J1104" s="38">
        <v>0.35</v>
      </c>
      <c r="K1104" s="38">
        <v>0.65</v>
      </c>
      <c r="L1104" s="215">
        <f>IF(B1104=0,0,VLOOKUP(B1104,EQUIP,6,FALSE))</f>
        <v>3.83</v>
      </c>
      <c r="M1104" s="38">
        <f>IF(B1104=0,0,VLOOKUP(B1104,EQUIP,7,FALSE))</f>
        <v>0</v>
      </c>
      <c r="N1104" s="269">
        <f>ROUND(I1104*J1104*L1104+I1104*K1104*M1104,2)</f>
        <v>1.34</v>
      </c>
      <c r="O1104" s="389"/>
    </row>
    <row r="1105" spans="2:15" ht="20.100000000000001" customHeight="1">
      <c r="B1105" s="260"/>
      <c r="D1105" s="35"/>
      <c r="E1105" s="36"/>
      <c r="F1105" s="36"/>
      <c r="G1105" s="36"/>
      <c r="H1105" s="37"/>
      <c r="I1105" s="55"/>
      <c r="J1105" s="39"/>
      <c r="K1105" s="39"/>
      <c r="L1105" s="55"/>
      <c r="M1105" s="39"/>
      <c r="N1105" s="269">
        <f>ROUND(I1105*J1105*L1105+I1105*K1105*M1105,2)</f>
        <v>0</v>
      </c>
      <c r="O1105" s="389"/>
    </row>
    <row r="1106" spans="2:15" ht="20.100000000000001" customHeight="1">
      <c r="D1106" s="40"/>
      <c r="E1106" s="41"/>
      <c r="F1106" s="41"/>
      <c r="G1106" s="41"/>
      <c r="H1106" s="41"/>
      <c r="I1106" s="216"/>
      <c r="J1106" s="41"/>
      <c r="K1106" s="41"/>
      <c r="L1106" s="216"/>
      <c r="M1106" s="42" t="s">
        <v>89</v>
      </c>
      <c r="N1106" s="270">
        <f>SUM(N1101:N1105)</f>
        <v>169.17</v>
      </c>
      <c r="O1106" s="389"/>
    </row>
    <row r="1107" spans="2:15" ht="3.95" customHeight="1">
      <c r="D1107" s="43"/>
      <c r="E1107" s="44"/>
      <c r="F1107" s="44"/>
      <c r="G1107" s="45"/>
      <c r="H1107" s="44"/>
      <c r="I1107" s="217"/>
      <c r="J1107" s="46"/>
      <c r="K1107" s="47"/>
      <c r="L1107" s="48"/>
      <c r="M1107" s="48"/>
      <c r="N1107" s="271"/>
      <c r="O1107" s="389"/>
    </row>
    <row r="1108" spans="2:15" ht="20.100000000000001" customHeight="1">
      <c r="D1108" s="518" t="s">
        <v>90</v>
      </c>
      <c r="E1108" s="519"/>
      <c r="F1108" s="519"/>
      <c r="G1108" s="519"/>
      <c r="H1108" s="519"/>
      <c r="I1108" s="519"/>
      <c r="J1108" s="513"/>
      <c r="K1108" s="50" t="s">
        <v>91</v>
      </c>
      <c r="L1108" s="51" t="s">
        <v>92</v>
      </c>
      <c r="M1108" s="51" t="s">
        <v>93</v>
      </c>
      <c r="N1108" s="272" t="s">
        <v>94</v>
      </c>
      <c r="O1108" s="389"/>
    </row>
    <row r="1109" spans="2:15" ht="20.100000000000001" customHeight="1">
      <c r="B1109" s="260" t="s">
        <v>250</v>
      </c>
      <c r="D1109" s="52" t="str">
        <f>IF(B1109=0,0,VLOOKUP(B1109,MO,2,FALSE))</f>
        <v>ENCARREGADO DE PAVIMENTAÇÃO</v>
      </c>
      <c r="E1109" s="53"/>
      <c r="F1109" s="53"/>
      <c r="G1109" s="53"/>
      <c r="H1109" s="53"/>
      <c r="I1109" s="36"/>
      <c r="J1109" s="54"/>
      <c r="K1109" s="39"/>
      <c r="L1109" s="55">
        <v>1</v>
      </c>
      <c r="M1109" s="55">
        <f>IF(B1109=0,0,VLOOKUP(B1109,MO,6,FALSE))</f>
        <v>44.786799999999999</v>
      </c>
      <c r="N1109" s="273">
        <f>ROUND(L1109*M1109,2)</f>
        <v>44.79</v>
      </c>
      <c r="O1109" s="389"/>
    </row>
    <row r="1110" spans="2:15" ht="20.100000000000001" customHeight="1">
      <c r="B1110" s="260" t="s">
        <v>248</v>
      </c>
      <c r="D1110" s="52" t="str">
        <f>IF(B1110=0,0,VLOOKUP(B1110,MO,2,FALSE))</f>
        <v>SERVENTE</v>
      </c>
      <c r="E1110" s="53"/>
      <c r="F1110" s="53"/>
      <c r="G1110" s="53"/>
      <c r="H1110" s="53"/>
      <c r="I1110" s="36"/>
      <c r="J1110" s="54"/>
      <c r="K1110" s="39"/>
      <c r="L1110" s="55">
        <v>2</v>
      </c>
      <c r="M1110" s="55">
        <f>IF(B1110=0,0,VLOOKUP(B1110,MO,6,FALSE))</f>
        <v>7.9973000000000001</v>
      </c>
      <c r="N1110" s="273">
        <f>ROUND(L1110*M1110,2)</f>
        <v>15.99</v>
      </c>
      <c r="O1110" s="389"/>
    </row>
    <row r="1111" spans="2:15" ht="20.100000000000001" customHeight="1">
      <c r="B1111" s="260"/>
      <c r="D1111" s="52" t="s">
        <v>122</v>
      </c>
      <c r="E1111" s="53"/>
      <c r="F1111" s="53"/>
      <c r="G1111" s="53"/>
      <c r="H1111" s="53"/>
      <c r="I1111" s="36"/>
      <c r="J1111" s="54"/>
      <c r="K1111" s="56">
        <v>0</v>
      </c>
      <c r="L1111" s="57">
        <f>N1109+N1110</f>
        <v>60.78</v>
      </c>
      <c r="M1111" s="55"/>
      <c r="N1111" s="274">
        <f>ROUND(K1111*L1111,2)</f>
        <v>0</v>
      </c>
      <c r="O1111" s="389"/>
    </row>
    <row r="1112" spans="2:15" ht="20.100000000000001" customHeight="1">
      <c r="D1112" s="58"/>
      <c r="E1112" s="59"/>
      <c r="F1112" s="60"/>
      <c r="G1112" s="60"/>
      <c r="H1112" s="44"/>
      <c r="I1112" s="217"/>
      <c r="J1112" s="61"/>
      <c r="K1112" s="47"/>
      <c r="L1112" s="48"/>
      <c r="M1112" s="62" t="s">
        <v>98</v>
      </c>
      <c r="N1112" s="270">
        <f>SUM(N1109:N1111)</f>
        <v>60.78</v>
      </c>
      <c r="O1112" s="389"/>
    </row>
    <row r="1113" spans="2:15" ht="3.95" customHeight="1">
      <c r="D1113" s="43"/>
      <c r="E1113" s="44"/>
      <c r="F1113" s="44"/>
      <c r="G1113" s="44"/>
      <c r="H1113" s="44"/>
      <c r="I1113" s="217"/>
      <c r="J1113" s="61"/>
      <c r="K1113" s="47"/>
      <c r="L1113" s="48"/>
      <c r="M1113" s="48"/>
      <c r="N1113" s="271"/>
      <c r="O1113" s="389"/>
    </row>
    <row r="1114" spans="2:15" ht="20.100000000000001" customHeight="1">
      <c r="D1114" s="40"/>
      <c r="E1114" s="60"/>
      <c r="F1114" s="60"/>
      <c r="G1114" s="60"/>
      <c r="H1114" s="63"/>
      <c r="I1114" s="218"/>
      <c r="J1114" s="63"/>
      <c r="K1114" s="558" t="s">
        <v>99</v>
      </c>
      <c r="L1114" s="559"/>
      <c r="M1114" s="560"/>
      <c r="N1114" s="275">
        <f>+N1106+N1112</f>
        <v>229.95</v>
      </c>
      <c r="O1114" s="389"/>
    </row>
    <row r="1115" spans="2:15" ht="3.95" customHeight="1">
      <c r="D1115" s="64"/>
      <c r="E1115" s="44"/>
      <c r="F1115" s="44"/>
      <c r="G1115" s="45"/>
      <c r="H1115" s="44"/>
      <c r="I1115" s="217"/>
      <c r="J1115" s="46"/>
      <c r="K1115" s="47"/>
      <c r="L1115" s="48"/>
      <c r="M1115" s="48"/>
      <c r="N1115" s="271"/>
      <c r="O1115" s="389"/>
    </row>
    <row r="1116" spans="2:15" ht="20.100000000000001" customHeight="1">
      <c r="D1116" s="58"/>
      <c r="E1116" s="509" t="s">
        <v>100</v>
      </c>
      <c r="F1116" s="510"/>
      <c r="G1116" s="510"/>
      <c r="H1116" s="511"/>
      <c r="I1116" s="219">
        <v>1050</v>
      </c>
      <c r="J1116" s="48"/>
      <c r="K1116" s="551" t="s">
        <v>165</v>
      </c>
      <c r="L1116" s="552"/>
      <c r="M1116" s="552"/>
      <c r="N1116" s="276">
        <f>ROUND(N1114/I1116,2)</f>
        <v>0.22</v>
      </c>
      <c r="O1116" s="389"/>
    </row>
    <row r="1117" spans="2:15" ht="3.95" customHeight="1">
      <c r="D1117" s="43"/>
      <c r="E1117" s="44"/>
      <c r="F1117" s="44"/>
      <c r="G1117" s="65"/>
      <c r="H1117" s="44"/>
      <c r="I1117" s="48"/>
      <c r="J1117" s="46"/>
      <c r="K1117" s="46"/>
      <c r="L1117" s="48"/>
      <c r="M1117" s="46"/>
      <c r="N1117" s="277"/>
      <c r="O1117" s="389"/>
    </row>
    <row r="1118" spans="2:15" ht="20.100000000000001" customHeight="1">
      <c r="D1118" s="49" t="s">
        <v>102</v>
      </c>
      <c r="E1118" s="22"/>
      <c r="F1118" s="22"/>
      <c r="G1118" s="22"/>
      <c r="H1118" s="22"/>
      <c r="I1118" s="141"/>
      <c r="J1118" s="23"/>
      <c r="K1118" s="50" t="s">
        <v>103</v>
      </c>
      <c r="L1118" s="51" t="s">
        <v>80</v>
      </c>
      <c r="M1118" s="51" t="s">
        <v>104</v>
      </c>
      <c r="N1118" s="272" t="s">
        <v>105</v>
      </c>
      <c r="O1118" s="389"/>
    </row>
    <row r="1119" spans="2:15" ht="20.100000000000001" customHeight="1">
      <c r="B1119" s="260"/>
      <c r="D1119" s="52"/>
      <c r="E1119" s="53"/>
      <c r="F1119" s="53"/>
      <c r="G1119" s="53"/>
      <c r="H1119" s="53"/>
      <c r="I1119" s="36"/>
      <c r="J1119" s="54"/>
      <c r="K1119" s="66"/>
      <c r="L1119" s="67"/>
      <c r="M1119" s="68"/>
      <c r="N1119" s="273"/>
      <c r="O1119" s="389"/>
    </row>
    <row r="1120" spans="2:15" ht="20.100000000000001" customHeight="1">
      <c r="B1120" s="260"/>
      <c r="D1120" s="52"/>
      <c r="E1120" s="53"/>
      <c r="F1120" s="53"/>
      <c r="G1120" s="53"/>
      <c r="H1120" s="53"/>
      <c r="I1120" s="36"/>
      <c r="J1120" s="54"/>
      <c r="K1120" s="66"/>
      <c r="L1120" s="67"/>
      <c r="M1120" s="75"/>
      <c r="N1120" s="445">
        <f>ROUND(L1120*M1120,2)</f>
        <v>0</v>
      </c>
      <c r="O1120" s="389"/>
    </row>
    <row r="1121" spans="2:15" ht="20.100000000000001" customHeight="1">
      <c r="D1121" s="43"/>
      <c r="E1121" s="44"/>
      <c r="F1121" s="44"/>
      <c r="G1121" s="65"/>
      <c r="H1121" s="44"/>
      <c r="I1121" s="48"/>
      <c r="J1121" s="46"/>
      <c r="K1121" s="46"/>
      <c r="L1121" s="48"/>
      <c r="M1121" s="71" t="s">
        <v>106</v>
      </c>
      <c r="N1121" s="441">
        <f>SUM(N1120)</f>
        <v>0</v>
      </c>
      <c r="O1121" s="389"/>
    </row>
    <row r="1122" spans="2:15" ht="3.95" customHeight="1">
      <c r="D1122" s="43"/>
      <c r="E1122" s="44"/>
      <c r="F1122" s="44"/>
      <c r="G1122" s="65"/>
      <c r="H1122" s="44"/>
      <c r="I1122" s="48"/>
      <c r="J1122" s="46"/>
      <c r="K1122" s="46"/>
      <c r="L1122" s="48"/>
      <c r="M1122" s="46"/>
      <c r="N1122" s="277"/>
      <c r="O1122" s="389"/>
    </row>
    <row r="1123" spans="2:15" ht="20.100000000000001" customHeight="1">
      <c r="D1123" s="527" t="s">
        <v>107</v>
      </c>
      <c r="E1123" s="72" t="s">
        <v>2</v>
      </c>
      <c r="F1123" s="73"/>
      <c r="G1123" s="73"/>
      <c r="H1123" s="74"/>
      <c r="I1123" s="498" t="s">
        <v>108</v>
      </c>
      <c r="J1123" s="499"/>
      <c r="K1123" s="531"/>
      <c r="L1123" s="514" t="s">
        <v>80</v>
      </c>
      <c r="M1123" s="531" t="s">
        <v>109</v>
      </c>
      <c r="N1123" s="529" t="s">
        <v>105</v>
      </c>
      <c r="O1123" s="389"/>
    </row>
    <row r="1124" spans="2:15" ht="20.100000000000001" customHeight="1">
      <c r="D1124" s="528"/>
      <c r="E1124" s="512" t="s">
        <v>110</v>
      </c>
      <c r="F1124" s="513"/>
      <c r="G1124" s="512" t="s">
        <v>111</v>
      </c>
      <c r="H1124" s="513"/>
      <c r="I1124" s="500"/>
      <c r="J1124" s="501"/>
      <c r="K1124" s="532"/>
      <c r="L1124" s="515"/>
      <c r="M1124" s="532"/>
      <c r="N1124" s="530"/>
      <c r="O1124" s="389"/>
    </row>
    <row r="1125" spans="2:15" ht="20.100000000000001" customHeight="1">
      <c r="B1125" s="260"/>
      <c r="D1125" s="261"/>
      <c r="E1125" s="504"/>
      <c r="F1125" s="505"/>
      <c r="G1125" s="502"/>
      <c r="H1125" s="503"/>
      <c r="I1125" s="533"/>
      <c r="J1125" s="534"/>
      <c r="K1125" s="66"/>
      <c r="L1125" s="67"/>
      <c r="M1125" s="70"/>
      <c r="N1125" s="278"/>
      <c r="O1125" s="389"/>
    </row>
    <row r="1126" spans="2:15" ht="20.100000000000001" customHeight="1">
      <c r="B1126" s="260"/>
      <c r="D1126" s="261"/>
      <c r="E1126" s="504"/>
      <c r="F1126" s="505"/>
      <c r="G1126" s="502"/>
      <c r="H1126" s="503"/>
      <c r="I1126" s="533"/>
      <c r="J1126" s="534"/>
      <c r="K1126" s="66"/>
      <c r="L1126" s="67"/>
      <c r="M1126" s="70"/>
      <c r="N1126" s="278"/>
      <c r="O1126" s="389"/>
    </row>
    <row r="1127" spans="2:15" ht="20.100000000000001" customHeight="1">
      <c r="D1127" s="375"/>
      <c r="E1127" s="376"/>
      <c r="F1127" s="377"/>
      <c r="G1127" s="378"/>
      <c r="H1127" s="377"/>
      <c r="I1127" s="379"/>
      <c r="J1127" s="380"/>
      <c r="K1127" s="46"/>
      <c r="L1127" s="48"/>
      <c r="M1127" s="71" t="s">
        <v>112</v>
      </c>
      <c r="N1127" s="441">
        <f>SUM(N1125:N1126)</f>
        <v>0</v>
      </c>
      <c r="O1127" s="389"/>
    </row>
    <row r="1128" spans="2:15" ht="3.95" customHeight="1">
      <c r="D1128" s="76"/>
      <c r="E1128" s="44"/>
      <c r="F1128" s="65"/>
      <c r="G1128" s="44"/>
      <c r="H1128" s="46"/>
      <c r="I1128" s="48"/>
      <c r="J1128" s="46"/>
      <c r="K1128" s="46"/>
      <c r="L1128" s="48"/>
      <c r="M1128" s="46"/>
      <c r="N1128" s="277"/>
      <c r="O1128" s="389"/>
    </row>
    <row r="1129" spans="2:15" ht="20.100000000000001" customHeight="1">
      <c r="D1129" s="40"/>
      <c r="E1129" s="65"/>
      <c r="F1129" s="65"/>
      <c r="G1129" s="65"/>
      <c r="H1129" s="44"/>
      <c r="I1129" s="233"/>
      <c r="J1129" s="143"/>
      <c r="K1129" s="565" t="s">
        <v>129</v>
      </c>
      <c r="L1129" s="566"/>
      <c r="M1129" s="567"/>
      <c r="N1129" s="279">
        <f>+N1116+N1121+N1127</f>
        <v>0.22</v>
      </c>
      <c r="O1129" s="389"/>
    </row>
    <row r="1130" spans="2:15" ht="20.100000000000001" customHeight="1">
      <c r="D1130" s="98"/>
      <c r="E1130" s="151"/>
      <c r="F1130" s="46"/>
      <c r="G1130" s="46"/>
      <c r="H1130" s="46"/>
      <c r="I1130" s="48"/>
      <c r="J1130" s="46"/>
      <c r="K1130" s="81" t="s">
        <v>115</v>
      </c>
      <c r="L1130" s="360">
        <v>0</v>
      </c>
      <c r="M1130" s="83"/>
      <c r="N1130" s="444">
        <f>L1130*N1129</f>
        <v>0</v>
      </c>
      <c r="O1130" s="389"/>
    </row>
    <row r="1131" spans="2:15" ht="20.100000000000001" customHeight="1" thickBot="1">
      <c r="D1131" s="84"/>
      <c r="E1131" s="85"/>
      <c r="F1131" s="85"/>
      <c r="G1131" s="85"/>
      <c r="H1131" s="85"/>
      <c r="I1131" s="225"/>
      <c r="J1131" s="85"/>
      <c r="K1131" s="86" t="s">
        <v>147</v>
      </c>
      <c r="L1131" s="280"/>
      <c r="M1131" s="89"/>
      <c r="N1131" s="281">
        <f>SUM(N1129:N1130)</f>
        <v>0.22</v>
      </c>
      <c r="O1131" s="389"/>
    </row>
    <row r="1132" spans="2:15" ht="3.95" customHeight="1" thickBot="1">
      <c r="D1132" s="40"/>
      <c r="E1132" s="46"/>
      <c r="F1132" s="46"/>
      <c r="G1132" s="46"/>
      <c r="H1132" s="46"/>
      <c r="I1132" s="48"/>
      <c r="J1132" s="46"/>
      <c r="O1132" s="389"/>
    </row>
    <row r="1133" spans="2:15" ht="20.100000000000001" customHeight="1">
      <c r="D1133" s="555" t="s">
        <v>131</v>
      </c>
      <c r="E1133" s="556"/>
      <c r="F1133" s="556"/>
      <c r="G1133" s="556"/>
      <c r="H1133" s="556"/>
      <c r="I1133" s="556"/>
      <c r="J1133" s="557"/>
      <c r="K1133" s="146" t="s">
        <v>103</v>
      </c>
      <c r="L1133" s="19" t="s">
        <v>80</v>
      </c>
      <c r="M1133" s="19" t="s">
        <v>104</v>
      </c>
      <c r="N1133" s="297" t="s">
        <v>105</v>
      </c>
      <c r="O1133" s="389"/>
    </row>
    <row r="1134" spans="2:15" ht="20.100000000000001" customHeight="1">
      <c r="B1134" s="260"/>
      <c r="D1134" s="264">
        <f>IF(B1134=0,0,VLOOKUP(B1134,MAT_BET,3,FALSE))</f>
        <v>0</v>
      </c>
      <c r="E1134" s="265"/>
      <c r="F1134" s="265"/>
      <c r="G1134" s="265"/>
      <c r="H1134" s="265"/>
      <c r="I1134" s="265"/>
      <c r="J1134" s="266"/>
      <c r="K1134" s="262">
        <f>IF(B1134=0,0,VLOOKUP(B1134,MAT_BET,4,FALSE))</f>
        <v>0</v>
      </c>
      <c r="L1134" s="267">
        <f>IF(B1134=0,0,VLOOKUP(B1134,MAT_BET,5,FALSE))</f>
        <v>0</v>
      </c>
      <c r="M1134" s="68"/>
      <c r="N1134" s="445">
        <f>ROUND(L1134*M1134,2)</f>
        <v>0</v>
      </c>
      <c r="O1134" s="389"/>
    </row>
    <row r="1135" spans="2:15" ht="20.100000000000001" customHeight="1">
      <c r="D1135" s="114"/>
      <c r="E1135" s="59"/>
      <c r="F1135" s="59"/>
      <c r="G1135" s="59"/>
      <c r="H1135" s="59"/>
      <c r="I1135" s="91"/>
      <c r="J1135" s="115"/>
      <c r="K1135" s="81" t="s">
        <v>115</v>
      </c>
      <c r="L1135" s="360">
        <v>0</v>
      </c>
      <c r="M1135" s="83"/>
      <c r="N1135" s="444">
        <f>L1135*N1134</f>
        <v>0</v>
      </c>
      <c r="O1135" s="389"/>
    </row>
    <row r="1136" spans="2:15" ht="20.100000000000001" customHeight="1">
      <c r="D1136" s="76"/>
      <c r="E1136" s="77"/>
      <c r="F1136" s="77"/>
      <c r="G1136" s="77"/>
      <c r="H1136" s="77"/>
      <c r="I1136" s="156"/>
      <c r="J1136" s="116"/>
      <c r="K1136" s="81" t="s">
        <v>132</v>
      </c>
      <c r="L1136" s="289"/>
      <c r="M1136" s="83"/>
      <c r="N1136" s="444">
        <f>N1134+N1135</f>
        <v>0</v>
      </c>
      <c r="O1136" s="389"/>
    </row>
    <row r="1137" spans="2:21" ht="20.100000000000001" customHeight="1">
      <c r="D1137" s="117"/>
      <c r="E1137" s="118"/>
      <c r="F1137" s="118"/>
      <c r="G1137" s="118"/>
      <c r="H1137" s="118"/>
      <c r="I1137" s="94"/>
      <c r="J1137" s="119"/>
      <c r="K1137" s="113" t="s">
        <v>103</v>
      </c>
      <c r="L1137" s="34" t="s">
        <v>80</v>
      </c>
      <c r="M1137" s="34" t="s">
        <v>104</v>
      </c>
      <c r="N1137" s="288" t="s">
        <v>105</v>
      </c>
      <c r="O1137" s="389"/>
    </row>
    <row r="1138" spans="2:21" ht="20.100000000000001" customHeight="1">
      <c r="B1138" s="260"/>
      <c r="D1138" s="264">
        <f>IF(B1138=0,0,VLOOKUP(B1138,MAT_BET,3,FALSE))</f>
        <v>0</v>
      </c>
      <c r="E1138" s="265"/>
      <c r="F1138" s="265"/>
      <c r="G1138" s="265"/>
      <c r="H1138" s="265"/>
      <c r="I1138" s="265"/>
      <c r="J1138" s="266"/>
      <c r="K1138" s="262">
        <f>IF(B1138=0,0,VLOOKUP(B1138,MAT_BET,4,FALSE))</f>
        <v>0</v>
      </c>
      <c r="L1138" s="267">
        <f>IF(B1138=0,0,VLOOKUP(B1138,MAT_BET,5,FALSE))</f>
        <v>0</v>
      </c>
      <c r="M1138" s="68"/>
      <c r="N1138" s="317">
        <f>(L1138*M1138)</f>
        <v>0</v>
      </c>
      <c r="O1138" s="389"/>
    </row>
    <row r="1139" spans="2:21" ht="20.100000000000001" customHeight="1">
      <c r="D1139" s="114"/>
      <c r="E1139" s="59"/>
      <c r="F1139" s="59"/>
      <c r="G1139" s="59"/>
      <c r="H1139" s="59"/>
      <c r="I1139" s="91"/>
      <c r="J1139" s="115"/>
      <c r="K1139" s="81" t="s">
        <v>115</v>
      </c>
      <c r="L1139" s="360">
        <v>0</v>
      </c>
      <c r="M1139" s="83"/>
      <c r="N1139" s="444">
        <f>L1139*N1138</f>
        <v>0</v>
      </c>
      <c r="O1139" s="389"/>
    </row>
    <row r="1140" spans="2:21" ht="20.100000000000001" customHeight="1" thickBot="1">
      <c r="D1140" s="76"/>
      <c r="E1140" s="77"/>
      <c r="F1140" s="77"/>
      <c r="G1140" s="77"/>
      <c r="H1140" s="77"/>
      <c r="I1140" s="156"/>
      <c r="J1140" s="116"/>
      <c r="K1140" s="97" t="s">
        <v>133</v>
      </c>
      <c r="L1140" s="290"/>
      <c r="M1140" s="120"/>
      <c r="N1140" s="443">
        <f>N1138+N1139</f>
        <v>0</v>
      </c>
      <c r="O1140" s="389"/>
    </row>
    <row r="1141" spans="2:21" ht="20.100000000000001" customHeight="1" thickBot="1">
      <c r="D1141" s="121"/>
      <c r="E1141" s="122"/>
      <c r="F1141" s="122"/>
      <c r="G1141" s="123"/>
      <c r="H1141" s="122"/>
      <c r="I1141" s="227"/>
      <c r="J1141" s="124"/>
      <c r="K1141" s="549" t="s">
        <v>134</v>
      </c>
      <c r="L1141" s="549"/>
      <c r="M1141" s="550"/>
      <c r="N1141" s="442">
        <f>N1136+N1140</f>
        <v>0</v>
      </c>
      <c r="O1141" s="389"/>
    </row>
    <row r="1142" spans="2:21" ht="20.100000000000001" customHeight="1">
      <c r="D1142" s="126"/>
      <c r="E1142" s="108"/>
      <c r="F1142" s="108"/>
      <c r="G1142" s="109"/>
      <c r="H1142" s="108"/>
      <c r="I1142" s="228" t="s">
        <v>114</v>
      </c>
      <c r="J1142" s="128"/>
      <c r="K1142" s="128"/>
      <c r="L1142" s="354">
        <v>0</v>
      </c>
      <c r="M1142" s="129"/>
      <c r="N1142" s="449">
        <f>(N1129+N1134+N1138)*L1142</f>
        <v>0</v>
      </c>
      <c r="O1142" s="389"/>
    </row>
    <row r="1143" spans="2:21" ht="20.100000000000001" customHeight="1" thickBot="1">
      <c r="D1143" s="130"/>
      <c r="E1143" s="104"/>
      <c r="F1143" s="104"/>
      <c r="G1143" s="105"/>
      <c r="H1143" s="104"/>
      <c r="I1143" s="537" t="s">
        <v>149</v>
      </c>
      <c r="J1143" s="538"/>
      <c r="K1143" s="538"/>
      <c r="L1143" s="538"/>
      <c r="M1143" s="131"/>
      <c r="N1143" s="295">
        <f>N1129+N1134+N1138+N1142</f>
        <v>0.22</v>
      </c>
      <c r="O1143" s="389"/>
    </row>
    <row r="1144" spans="2:21" ht="3.95" customHeight="1">
      <c r="D1144" s="98"/>
      <c r="E1144" s="99"/>
      <c r="F1144" s="44"/>
      <c r="G1144" s="65"/>
      <c r="H1144" s="44"/>
      <c r="I1144" s="48"/>
      <c r="J1144" s="46"/>
      <c r="K1144" s="46"/>
      <c r="L1144" s="48"/>
      <c r="M1144" s="100"/>
      <c r="N1144" s="282"/>
      <c r="O1144" s="389"/>
    </row>
    <row r="1145" spans="2:21" ht="20.100000000000001" customHeight="1" thickBot="1">
      <c r="D1145" s="137"/>
      <c r="E1145" s="138"/>
      <c r="F1145" s="138"/>
      <c r="G1145" s="138"/>
      <c r="H1145" s="138"/>
      <c r="I1145" s="232" t="s">
        <v>158</v>
      </c>
      <c r="J1145" s="149"/>
      <c r="K1145" s="149"/>
      <c r="L1145" s="358">
        <v>0</v>
      </c>
      <c r="M1145" s="140"/>
      <c r="N1145" s="295">
        <f>N1143*L1145+N1143</f>
        <v>0.22</v>
      </c>
      <c r="O1145" s="389"/>
    </row>
    <row r="1148" spans="2:21" ht="19.5" customHeight="1" thickBot="1"/>
    <row r="1149" spans="2:21" ht="20.100000000000001" customHeight="1">
      <c r="D1149" s="598" t="s">
        <v>313</v>
      </c>
      <c r="E1149" s="599"/>
      <c r="F1149" s="524" t="s">
        <v>74</v>
      </c>
      <c r="G1149" s="525"/>
      <c r="H1149" s="525"/>
      <c r="I1149" s="525"/>
      <c r="J1149" s="525"/>
      <c r="K1149" s="525"/>
      <c r="L1149" s="526"/>
      <c r="M1149" s="19" t="s">
        <v>75</v>
      </c>
      <c r="N1149" s="20" t="s">
        <v>76</v>
      </c>
      <c r="U1149" s="132">
        <f>N1186</f>
        <v>0.73</v>
      </c>
    </row>
    <row r="1150" spans="2:21" ht="20.100000000000001" customHeight="1">
      <c r="D1150" s="600"/>
      <c r="E1150" s="601"/>
      <c r="F1150" s="512" t="str">
        <f>MAT!D17</f>
        <v>ÓLEO COMBUSTÍVEL 1A</v>
      </c>
      <c r="G1150" s="519"/>
      <c r="H1150" s="519"/>
      <c r="I1150" s="519"/>
      <c r="J1150" s="519"/>
      <c r="K1150" s="519"/>
      <c r="L1150" s="513"/>
      <c r="M1150" s="24" t="str">
        <f>MAT!F17</f>
        <v>L</v>
      </c>
      <c r="N1150" s="25">
        <f>DATA</f>
        <v>41214</v>
      </c>
    </row>
    <row r="1151" spans="2:21" ht="20.100000000000001" customHeight="1">
      <c r="D1151" s="26" t="s">
        <v>77</v>
      </c>
      <c r="E1151" s="27"/>
      <c r="F1151" s="27"/>
      <c r="G1151" s="27"/>
      <c r="H1151" s="28"/>
      <c r="I1151" s="214" t="s">
        <v>78</v>
      </c>
      <c r="J1151" s="509" t="s">
        <v>79</v>
      </c>
      <c r="K1151" s="511"/>
      <c r="L1151" s="535" t="s">
        <v>80</v>
      </c>
      <c r="M1151" s="536"/>
      <c r="N1151" s="516" t="s">
        <v>81</v>
      </c>
    </row>
    <row r="1152" spans="2:21" ht="20.100000000000001" customHeight="1">
      <c r="D1152" s="31"/>
      <c r="E1152" s="32"/>
      <c r="F1152" s="32"/>
      <c r="G1152" s="32"/>
      <c r="H1152" s="33"/>
      <c r="I1152" s="34"/>
      <c r="J1152" s="51" t="s">
        <v>82</v>
      </c>
      <c r="K1152" s="51" t="s">
        <v>83</v>
      </c>
      <c r="L1152" s="51" t="s">
        <v>82</v>
      </c>
      <c r="M1152" s="51" t="s">
        <v>84</v>
      </c>
      <c r="N1152" s="517"/>
    </row>
    <row r="1153" spans="2:14" ht="20.100000000000001" customHeight="1">
      <c r="B1153" s="260" t="s">
        <v>415</v>
      </c>
      <c r="D1153" s="264" t="str">
        <f t="shared" ref="D1153:D1159" si="90">IF(B1153=0,0,VLOOKUP(B1153,EQUIP,3,FALSE))</f>
        <v>TRATOR DE ESTEIRAS - COM LÂMINA (104 KW)</v>
      </c>
      <c r="E1153" s="265"/>
      <c r="F1153" s="265"/>
      <c r="G1153" s="265"/>
      <c r="H1153" s="266"/>
      <c r="I1153" s="318">
        <v>1</v>
      </c>
      <c r="J1153" s="318">
        <v>1</v>
      </c>
      <c r="K1153" s="318">
        <f>1-J1153</f>
        <v>0</v>
      </c>
      <c r="L1153" s="318">
        <f t="shared" ref="L1153:L1159" si="91">IF(B1153=0,0,VLOOKUP(B1153,EQUIP,6,FALSE))</f>
        <v>334.66</v>
      </c>
      <c r="M1153" s="318">
        <f t="shared" ref="M1153:M1159" si="92">IF(B1153=0,0,VLOOKUP(B1153,EQUIP,7,FALSE))</f>
        <v>22.39</v>
      </c>
      <c r="N1153" s="319">
        <f t="shared" ref="N1153:N1159" si="93">ROUND(I1153*J1153*L1153+I1153*K1153*M1153,2)</f>
        <v>334.66</v>
      </c>
    </row>
    <row r="1154" spans="2:14" ht="20.100000000000001" customHeight="1">
      <c r="B1154" s="260"/>
      <c r="D1154" s="264">
        <f t="shared" si="90"/>
        <v>0</v>
      </c>
      <c r="E1154" s="265"/>
      <c r="F1154" s="265"/>
      <c r="G1154" s="265"/>
      <c r="H1154" s="266"/>
      <c r="I1154" s="263"/>
      <c r="J1154" s="263"/>
      <c r="K1154" s="318"/>
      <c r="L1154" s="318">
        <f t="shared" si="91"/>
        <v>0</v>
      </c>
      <c r="M1154" s="318">
        <f t="shared" si="92"/>
        <v>0</v>
      </c>
      <c r="N1154" s="319">
        <f t="shared" si="93"/>
        <v>0</v>
      </c>
    </row>
    <row r="1155" spans="2:14" ht="20.100000000000001" customHeight="1">
      <c r="B1155" s="260"/>
      <c r="D1155" s="264">
        <f t="shared" si="90"/>
        <v>0</v>
      </c>
      <c r="E1155" s="265"/>
      <c r="F1155" s="265"/>
      <c r="G1155" s="265"/>
      <c r="H1155" s="266"/>
      <c r="I1155" s="318"/>
      <c r="J1155" s="318"/>
      <c r="K1155" s="318"/>
      <c r="L1155" s="318">
        <f t="shared" si="91"/>
        <v>0</v>
      </c>
      <c r="M1155" s="318">
        <f t="shared" si="92"/>
        <v>0</v>
      </c>
      <c r="N1155" s="319">
        <f t="shared" si="93"/>
        <v>0</v>
      </c>
    </row>
    <row r="1156" spans="2:14" ht="20.100000000000001" customHeight="1">
      <c r="B1156" s="260"/>
      <c r="D1156" s="264">
        <f t="shared" si="90"/>
        <v>0</v>
      </c>
      <c r="E1156" s="265"/>
      <c r="F1156" s="265"/>
      <c r="G1156" s="265"/>
      <c r="H1156" s="266"/>
      <c r="I1156" s="263"/>
      <c r="J1156" s="263"/>
      <c r="K1156" s="318"/>
      <c r="L1156" s="318">
        <f t="shared" si="91"/>
        <v>0</v>
      </c>
      <c r="M1156" s="318">
        <f t="shared" si="92"/>
        <v>0</v>
      </c>
      <c r="N1156" s="319">
        <f t="shared" si="93"/>
        <v>0</v>
      </c>
    </row>
    <row r="1157" spans="2:14" ht="20.100000000000001" customHeight="1">
      <c r="B1157" s="260"/>
      <c r="D1157" s="264">
        <f t="shared" si="90"/>
        <v>0</v>
      </c>
      <c r="E1157" s="265"/>
      <c r="F1157" s="265"/>
      <c r="G1157" s="265"/>
      <c r="H1157" s="266"/>
      <c r="I1157" s="263"/>
      <c r="J1157" s="263"/>
      <c r="K1157" s="318"/>
      <c r="L1157" s="318">
        <f t="shared" si="91"/>
        <v>0</v>
      </c>
      <c r="M1157" s="318">
        <f t="shared" si="92"/>
        <v>0</v>
      </c>
      <c r="N1157" s="319">
        <f t="shared" si="93"/>
        <v>0</v>
      </c>
    </row>
    <row r="1158" spans="2:14" ht="20.100000000000001" customHeight="1">
      <c r="B1158" s="260"/>
      <c r="D1158" s="264">
        <f t="shared" si="90"/>
        <v>0</v>
      </c>
      <c r="E1158" s="265"/>
      <c r="F1158" s="265"/>
      <c r="G1158" s="265"/>
      <c r="H1158" s="266"/>
      <c r="I1158" s="263"/>
      <c r="J1158" s="318"/>
      <c r="K1158" s="318"/>
      <c r="L1158" s="318">
        <f t="shared" si="91"/>
        <v>0</v>
      </c>
      <c r="M1158" s="318">
        <f t="shared" si="92"/>
        <v>0</v>
      </c>
      <c r="N1158" s="319">
        <f t="shared" si="93"/>
        <v>0</v>
      </c>
    </row>
    <row r="1159" spans="2:14" ht="20.100000000000001" customHeight="1">
      <c r="B1159" s="260"/>
      <c r="D1159" s="264">
        <f t="shared" si="90"/>
        <v>0</v>
      </c>
      <c r="E1159" s="265"/>
      <c r="F1159" s="265"/>
      <c r="G1159" s="265"/>
      <c r="H1159" s="266"/>
      <c r="I1159" s="263"/>
      <c r="J1159" s="318"/>
      <c r="K1159" s="318"/>
      <c r="L1159" s="318">
        <f t="shared" si="91"/>
        <v>0</v>
      </c>
      <c r="M1159" s="318">
        <f t="shared" si="92"/>
        <v>0</v>
      </c>
      <c r="N1159" s="319">
        <f t="shared" si="93"/>
        <v>0</v>
      </c>
    </row>
    <row r="1160" spans="2:14" ht="20.100000000000001" customHeight="1">
      <c r="D1160" s="155"/>
      <c r="E1160" s="156"/>
      <c r="F1160" s="156"/>
      <c r="G1160" s="156"/>
      <c r="H1160" s="156"/>
      <c r="I1160" s="235"/>
      <c r="J1160" s="157"/>
      <c r="K1160" s="157"/>
      <c r="L1160" s="216"/>
      <c r="M1160" s="42" t="s">
        <v>89</v>
      </c>
      <c r="N1160" s="270">
        <f>SUM(N1153:N1159)</f>
        <v>334.66</v>
      </c>
    </row>
    <row r="1161" spans="2:14" ht="3.95" customHeight="1">
      <c r="D1161" s="158"/>
      <c r="E1161" s="159"/>
      <c r="F1161" s="159"/>
      <c r="G1161" s="160"/>
      <c r="H1161" s="159"/>
      <c r="I1161" s="236"/>
      <c r="J1161" s="161"/>
      <c r="K1161" s="162"/>
      <c r="L1161" s="163"/>
      <c r="M1161" s="163"/>
      <c r="N1161" s="300"/>
    </row>
    <row r="1162" spans="2:14" ht="20.100000000000001" customHeight="1">
      <c r="D1162" s="518" t="s">
        <v>90</v>
      </c>
      <c r="E1162" s="519"/>
      <c r="F1162" s="519"/>
      <c r="G1162" s="519"/>
      <c r="H1162" s="519"/>
      <c r="I1162" s="519"/>
      <c r="J1162" s="513"/>
      <c r="K1162" s="50" t="s">
        <v>91</v>
      </c>
      <c r="L1162" s="51" t="s">
        <v>92</v>
      </c>
      <c r="M1162" s="51" t="s">
        <v>93</v>
      </c>
      <c r="N1162" s="272" t="s">
        <v>94</v>
      </c>
    </row>
    <row r="1163" spans="2:14" ht="20.100000000000001" customHeight="1">
      <c r="B1163" s="260" t="s">
        <v>247</v>
      </c>
      <c r="D1163" s="264" t="str">
        <f>IF(B1163=0,0,VLOOKUP(B1163,MO,2,FALSE))</f>
        <v>ENCARREGADO DE TURMA</v>
      </c>
      <c r="E1163" s="53"/>
      <c r="F1163" s="53"/>
      <c r="G1163" s="53"/>
      <c r="H1163" s="53"/>
      <c r="I1163" s="36"/>
      <c r="J1163" s="54"/>
      <c r="K1163" s="152"/>
      <c r="L1163" s="164">
        <v>0.5</v>
      </c>
      <c r="M1163" s="263">
        <f>IF(B1163=0,0,VLOOKUP(B1163,MO,6,FALSE))</f>
        <v>27</v>
      </c>
      <c r="N1163" s="316">
        <f>ROUND(L1163*M1163,2)</f>
        <v>13.5</v>
      </c>
    </row>
    <row r="1164" spans="2:14" ht="20.100000000000001" customHeight="1">
      <c r="B1164" s="260" t="s">
        <v>248</v>
      </c>
      <c r="D1164" s="264" t="str">
        <f>IF(B1164=0,0,VLOOKUP(B1164,MO,2,FALSE))</f>
        <v>SERVENTE</v>
      </c>
      <c r="E1164" s="53"/>
      <c r="F1164" s="53"/>
      <c r="G1164" s="53"/>
      <c r="H1164" s="53"/>
      <c r="I1164" s="36"/>
      <c r="J1164" s="54"/>
      <c r="K1164" s="152"/>
      <c r="L1164" s="164">
        <v>2</v>
      </c>
      <c r="M1164" s="263">
        <f>IF(B1164=0,0,VLOOKUP(B1164,MO,6,FALSE))</f>
        <v>7.9973000000000001</v>
      </c>
      <c r="N1164" s="316">
        <f>ROUND(L1164*M1164,2)</f>
        <v>15.99</v>
      </c>
    </row>
    <row r="1165" spans="2:14" ht="20.100000000000001" customHeight="1">
      <c r="B1165" s="260"/>
      <c r="D1165" s="52" t="s">
        <v>122</v>
      </c>
      <c r="E1165" s="53"/>
      <c r="F1165" s="53"/>
      <c r="G1165" s="53"/>
      <c r="H1165" s="53"/>
      <c r="I1165" s="36"/>
      <c r="J1165" s="54"/>
      <c r="K1165" s="165">
        <v>0</v>
      </c>
      <c r="L1165" s="320">
        <f>N1163+N1164</f>
        <v>29.490000000000002</v>
      </c>
      <c r="M1165" s="164"/>
      <c r="N1165" s="316">
        <f>ROUND(L1165*K1165,2)</f>
        <v>0</v>
      </c>
    </row>
    <row r="1166" spans="2:14" ht="20.100000000000001" customHeight="1">
      <c r="D1166" s="167"/>
      <c r="E1166" s="59"/>
      <c r="F1166" s="168"/>
      <c r="G1166" s="168"/>
      <c r="H1166" s="159"/>
      <c r="I1166" s="236"/>
      <c r="J1166" s="169"/>
      <c r="K1166" s="162"/>
      <c r="L1166" s="163"/>
      <c r="M1166" s="62" t="s">
        <v>98</v>
      </c>
      <c r="N1166" s="302">
        <f>SUM(N1163:N1165)</f>
        <v>29.490000000000002</v>
      </c>
    </row>
    <row r="1167" spans="2:14" ht="3.95" customHeight="1">
      <c r="D1167" s="158"/>
      <c r="E1167" s="159"/>
      <c r="F1167" s="159"/>
      <c r="G1167" s="159"/>
      <c r="H1167" s="159"/>
      <c r="I1167" s="236"/>
      <c r="J1167" s="169"/>
      <c r="K1167" s="162"/>
      <c r="L1167" s="163"/>
      <c r="M1167" s="163"/>
      <c r="N1167" s="300"/>
    </row>
    <row r="1168" spans="2:14" ht="20.100000000000001" customHeight="1">
      <c r="D1168" s="170"/>
      <c r="E1168" s="168"/>
      <c r="F1168" s="168"/>
      <c r="G1168" s="168"/>
      <c r="H1168" s="171"/>
      <c r="I1168" s="237"/>
      <c r="J1168" s="171"/>
      <c r="K1168" s="509" t="s">
        <v>99</v>
      </c>
      <c r="L1168" s="510"/>
      <c r="M1168" s="511"/>
      <c r="N1168" s="303">
        <f>+N1160+N1166</f>
        <v>364.15000000000003</v>
      </c>
    </row>
    <row r="1169" spans="2:14" ht="3.95" customHeight="1">
      <c r="D1169" s="172"/>
      <c r="E1169" s="159"/>
      <c r="F1169" s="159"/>
      <c r="G1169" s="160"/>
      <c r="H1169" s="159"/>
      <c r="I1169" s="236"/>
      <c r="J1169" s="161"/>
      <c r="K1169" s="162"/>
      <c r="L1169" s="163"/>
      <c r="M1169" s="163"/>
      <c r="N1169" s="300"/>
    </row>
    <row r="1170" spans="2:14" ht="20.100000000000001" customHeight="1">
      <c r="D1170" s="167"/>
      <c r="E1170" s="509" t="s">
        <v>100</v>
      </c>
      <c r="F1170" s="510"/>
      <c r="G1170" s="510"/>
      <c r="H1170" s="511"/>
      <c r="I1170" s="238">
        <v>500</v>
      </c>
      <c r="J1170" s="163"/>
      <c r="K1170" s="506" t="s">
        <v>101</v>
      </c>
      <c r="L1170" s="507"/>
      <c r="M1170" s="508"/>
      <c r="N1170" s="304">
        <f>ROUND(N1168/I1170,2)</f>
        <v>0.73</v>
      </c>
    </row>
    <row r="1171" spans="2:14" ht="3.95" customHeight="1">
      <c r="D1171" s="158"/>
      <c r="E1171" s="159"/>
      <c r="F1171" s="159"/>
      <c r="G1171" s="173"/>
      <c r="H1171" s="159"/>
      <c r="I1171" s="163"/>
      <c r="J1171" s="161"/>
      <c r="K1171" s="161"/>
      <c r="L1171" s="163"/>
      <c r="M1171" s="161"/>
      <c r="N1171" s="305"/>
    </row>
    <row r="1172" spans="2:14" ht="20.100000000000001" customHeight="1">
      <c r="D1172" s="49" t="s">
        <v>102</v>
      </c>
      <c r="E1172" s="22"/>
      <c r="F1172" s="22"/>
      <c r="G1172" s="22"/>
      <c r="H1172" s="22"/>
      <c r="I1172" s="141"/>
      <c r="J1172" s="23"/>
      <c r="K1172" s="50" t="s">
        <v>103</v>
      </c>
      <c r="L1172" s="51" t="s">
        <v>80</v>
      </c>
      <c r="M1172" s="51" t="s">
        <v>104</v>
      </c>
      <c r="N1172" s="272" t="s">
        <v>105</v>
      </c>
    </row>
    <row r="1173" spans="2:14" ht="20.100000000000001" customHeight="1">
      <c r="B1173" s="260"/>
      <c r="D1173" s="264">
        <f>IF(B1173=0,0,VLOOKUP(B1173,MAT,3,FALSE))</f>
        <v>0</v>
      </c>
      <c r="E1173" s="53"/>
      <c r="F1173" s="53"/>
      <c r="G1173" s="53"/>
      <c r="H1173" s="53"/>
      <c r="I1173" s="36"/>
      <c r="J1173" s="54"/>
      <c r="K1173" s="262">
        <f>IF(B1173=0,0,VLOOKUP(B1173,MAT,5,FALSE))</f>
        <v>0</v>
      </c>
      <c r="L1173" s="267">
        <f>IF(B1173=0,0,VLOOKUP(B1173,MAT,6,FALSE))</f>
        <v>0</v>
      </c>
      <c r="M1173" s="174"/>
      <c r="N1173" s="316">
        <f>ROUND(L1173*M1173,2)</f>
        <v>0</v>
      </c>
    </row>
    <row r="1174" spans="2:14" ht="20.100000000000001" customHeight="1">
      <c r="B1174" s="260"/>
      <c r="D1174" s="264">
        <f>IF(B1174=0,0,VLOOKUP(B1174,MAT,3,FALSE))</f>
        <v>0</v>
      </c>
      <c r="E1174" s="53"/>
      <c r="F1174" s="53"/>
      <c r="G1174" s="53"/>
      <c r="H1174" s="53"/>
      <c r="I1174" s="36"/>
      <c r="J1174" s="54"/>
      <c r="K1174" s="262">
        <f>IF(B1174=0,0,VLOOKUP(B1174,MAT,5,FALSE))</f>
        <v>0</v>
      </c>
      <c r="L1174" s="267">
        <f>IF(B1174=0,0,VLOOKUP(B1174,MAT,6,FALSE))</f>
        <v>0</v>
      </c>
      <c r="M1174" s="174"/>
      <c r="N1174" s="316">
        <f>ROUND(L1174*M1174,2)</f>
        <v>0</v>
      </c>
    </row>
    <row r="1175" spans="2:14" ht="20.100000000000001" customHeight="1">
      <c r="B1175" s="260"/>
      <c r="D1175" s="264">
        <f>IF(B1175=0,0,VLOOKUP(B1175,MAT,3,FALSE))</f>
        <v>0</v>
      </c>
      <c r="E1175" s="53"/>
      <c r="F1175" s="53"/>
      <c r="G1175" s="53"/>
      <c r="H1175" s="53"/>
      <c r="I1175" s="36"/>
      <c r="J1175" s="54"/>
      <c r="K1175" s="262">
        <f>IF(B1175=0,0,VLOOKUP(B1175,MAT,5,FALSE))</f>
        <v>0</v>
      </c>
      <c r="L1175" s="267">
        <f>IF(B1175=0,0,VLOOKUP(B1175,MAT,6,FALSE))</f>
        <v>0</v>
      </c>
      <c r="M1175" s="174"/>
      <c r="N1175" s="316">
        <f>ROUND(L1175*M1175,2)</f>
        <v>0</v>
      </c>
    </row>
    <row r="1176" spans="2:14" ht="20.100000000000001" customHeight="1">
      <c r="D1176" s="158"/>
      <c r="E1176" s="159"/>
      <c r="F1176" s="159"/>
      <c r="G1176" s="173"/>
      <c r="H1176" s="159"/>
      <c r="I1176" s="163"/>
      <c r="J1176" s="161"/>
      <c r="K1176" s="161"/>
      <c r="L1176" s="163"/>
      <c r="M1176" s="71" t="s">
        <v>106</v>
      </c>
      <c r="N1176" s="437">
        <f>SUM(N1173:N1175)</f>
        <v>0</v>
      </c>
    </row>
    <row r="1177" spans="2:14" ht="20.100000000000001" customHeight="1">
      <c r="D1177" s="158"/>
      <c r="E1177" s="159"/>
      <c r="F1177" s="159"/>
      <c r="G1177" s="173"/>
      <c r="H1177" s="159"/>
      <c r="I1177" s="163"/>
      <c r="J1177" s="161"/>
      <c r="K1177" s="161"/>
      <c r="L1177" s="163"/>
      <c r="M1177" s="161"/>
      <c r="N1177" s="305"/>
    </row>
    <row r="1178" spans="2:14" ht="20.100000000000001" customHeight="1">
      <c r="D1178" s="527" t="s">
        <v>107</v>
      </c>
      <c r="E1178" s="72" t="s">
        <v>2</v>
      </c>
      <c r="F1178" s="73"/>
      <c r="G1178" s="73"/>
      <c r="H1178" s="74"/>
      <c r="I1178" s="498" t="s">
        <v>108</v>
      </c>
      <c r="J1178" s="499"/>
      <c r="K1178" s="531" t="s">
        <v>103</v>
      </c>
      <c r="L1178" s="514" t="s">
        <v>80</v>
      </c>
      <c r="M1178" s="531" t="s">
        <v>109</v>
      </c>
      <c r="N1178" s="529" t="s">
        <v>105</v>
      </c>
    </row>
    <row r="1179" spans="2:14" ht="20.100000000000001" customHeight="1">
      <c r="D1179" s="528"/>
      <c r="E1179" s="512" t="s">
        <v>110</v>
      </c>
      <c r="F1179" s="513"/>
      <c r="G1179" s="512" t="s">
        <v>111</v>
      </c>
      <c r="H1179" s="513"/>
      <c r="I1179" s="500"/>
      <c r="J1179" s="501"/>
      <c r="K1179" s="532"/>
      <c r="L1179" s="515"/>
      <c r="M1179" s="532"/>
      <c r="N1179" s="530"/>
    </row>
    <row r="1180" spans="2:14" ht="20.100000000000001" customHeight="1">
      <c r="B1180" s="260"/>
      <c r="D1180" s="261">
        <f>IF(B1180=0,0,VLOOKUP(B1180,TRANS,3,FALSE))</f>
        <v>0</v>
      </c>
      <c r="E1180" s="581">
        <f>IF(B1180=0,0,VLOOKUP(B1180,TRANS,5,FALSE))</f>
        <v>0</v>
      </c>
      <c r="F1180" s="582"/>
      <c r="G1180" s="502"/>
      <c r="H1180" s="503"/>
      <c r="I1180" s="533"/>
      <c r="J1180" s="534">
        <v>50</v>
      </c>
      <c r="K1180" s="262">
        <f>IF(B1180=0,0,VLOOKUP(B1180,TRANS,4,FALSE))</f>
        <v>0</v>
      </c>
      <c r="L1180" s="267">
        <f>E1180*I1180</f>
        <v>0</v>
      </c>
      <c r="M1180" s="70"/>
      <c r="N1180" s="317">
        <f>ROUND(L1180*M1180,2)</f>
        <v>0</v>
      </c>
    </row>
    <row r="1181" spans="2:14" ht="20.100000000000001" customHeight="1">
      <c r="B1181" s="260"/>
      <c r="D1181" s="261"/>
      <c r="E1181" s="504"/>
      <c r="F1181" s="505"/>
      <c r="G1181" s="502"/>
      <c r="H1181" s="503"/>
      <c r="I1181" s="533"/>
      <c r="J1181" s="534"/>
      <c r="K1181" s="66"/>
      <c r="L1181" s="67"/>
      <c r="M1181" s="70"/>
      <c r="N1181" s="278"/>
    </row>
    <row r="1182" spans="2:14" ht="20.100000000000001" customHeight="1">
      <c r="D1182" s="175"/>
      <c r="E1182" s="176"/>
      <c r="F1182" s="159"/>
      <c r="G1182" s="173"/>
      <c r="H1182" s="159"/>
      <c r="I1182" s="163"/>
      <c r="J1182" s="161"/>
      <c r="K1182" s="161"/>
      <c r="L1182" s="163"/>
      <c r="M1182" s="71" t="s">
        <v>112</v>
      </c>
      <c r="N1182" s="437">
        <f>SUM(N1180:N1181)</f>
        <v>0</v>
      </c>
    </row>
    <row r="1183" spans="2:14" ht="3.95" customHeight="1" thickBot="1">
      <c r="D1183" s="175"/>
      <c r="E1183" s="159"/>
      <c r="F1183" s="173"/>
      <c r="G1183" s="159"/>
      <c r="H1183" s="161"/>
      <c r="I1183" s="163"/>
      <c r="J1183" s="161"/>
      <c r="K1183" s="161"/>
      <c r="L1183" s="163"/>
      <c r="M1183" s="161">
        <v>0</v>
      </c>
      <c r="N1183" s="305"/>
    </row>
    <row r="1184" spans="2:14" ht="20.100000000000001" customHeight="1">
      <c r="D1184" s="177"/>
      <c r="E1184" s="178"/>
      <c r="F1184" s="178"/>
      <c r="G1184" s="178"/>
      <c r="H1184" s="179"/>
      <c r="I1184" s="239"/>
      <c r="J1184" s="127" t="s">
        <v>114</v>
      </c>
      <c r="K1184" s="128"/>
      <c r="L1184" s="306"/>
      <c r="M1184" s="129">
        <v>0</v>
      </c>
      <c r="N1184" s="447">
        <f>(+$N1170+$N1176+$N1182)*M1184</f>
        <v>0</v>
      </c>
    </row>
    <row r="1185" spans="2:21" ht="20.100000000000001" customHeight="1" thickBot="1">
      <c r="D1185" s="180"/>
      <c r="E1185" s="181"/>
      <c r="F1185" s="181"/>
      <c r="G1185" s="181"/>
      <c r="H1185" s="181"/>
      <c r="I1185" s="240"/>
      <c r="J1185" s="537" t="s">
        <v>149</v>
      </c>
      <c r="K1185" s="538"/>
      <c r="L1185" s="538"/>
      <c r="M1185" s="538"/>
      <c r="N1185" s="308">
        <f>+$N1170+$N1176+$N1182+N1184</f>
        <v>0.73</v>
      </c>
    </row>
    <row r="1186" spans="2:21" ht="20.100000000000001" customHeight="1" thickBot="1">
      <c r="D1186" s="182"/>
      <c r="E1186" s="183"/>
      <c r="F1186" s="183"/>
      <c r="G1186" s="183"/>
      <c r="H1186" s="183"/>
      <c r="I1186" s="241"/>
      <c r="J1186" s="184" t="s">
        <v>158</v>
      </c>
      <c r="K1186" s="185"/>
      <c r="L1186" s="309"/>
      <c r="M1186" s="186">
        <v>0</v>
      </c>
      <c r="N1186" s="310">
        <f>(M1186*N1185)+N1185</f>
        <v>0.73</v>
      </c>
      <c r="O1186" s="210"/>
      <c r="P1186" s="16">
        <v>48.42</v>
      </c>
      <c r="R1186" s="90">
        <f>(N1186/P1186)-1</f>
        <v>-0.98492358529533253</v>
      </c>
    </row>
    <row r="1189" spans="2:21" ht="20.100000000000001" customHeight="1" thickBot="1"/>
    <row r="1190" spans="2:21" ht="20.100000000000001" customHeight="1">
      <c r="D1190" s="598" t="s">
        <v>315</v>
      </c>
      <c r="E1190" s="599"/>
      <c r="F1190" s="524" t="s">
        <v>74</v>
      </c>
      <c r="G1190" s="525"/>
      <c r="H1190" s="525"/>
      <c r="I1190" s="525"/>
      <c r="J1190" s="525"/>
      <c r="K1190" s="525"/>
      <c r="L1190" s="526"/>
      <c r="M1190" s="19" t="s">
        <v>75</v>
      </c>
      <c r="N1190" s="20" t="s">
        <v>76</v>
      </c>
      <c r="U1190" s="132">
        <f>N1227</f>
        <v>4.99</v>
      </c>
    </row>
    <row r="1191" spans="2:21" ht="20.100000000000001" customHeight="1">
      <c r="D1191" s="600"/>
      <c r="E1191" s="601"/>
      <c r="F1191" s="512" t="str">
        <f>MAT!D19</f>
        <v>DEFENSA SEMI-MALEÁVEL SIMPLES</v>
      </c>
      <c r="G1191" s="519"/>
      <c r="H1191" s="519"/>
      <c r="I1191" s="519"/>
      <c r="J1191" s="519"/>
      <c r="K1191" s="519"/>
      <c r="L1191" s="513"/>
      <c r="M1191" s="24" t="str">
        <f>MAT!F19</f>
        <v>M</v>
      </c>
      <c r="N1191" s="25">
        <f>DATA</f>
        <v>41214</v>
      </c>
    </row>
    <row r="1192" spans="2:21" ht="20.100000000000001" customHeight="1">
      <c r="D1192" s="26" t="s">
        <v>77</v>
      </c>
      <c r="E1192" s="27"/>
      <c r="F1192" s="27"/>
      <c r="G1192" s="27"/>
      <c r="H1192" s="28"/>
      <c r="I1192" s="214" t="s">
        <v>78</v>
      </c>
      <c r="J1192" s="509" t="s">
        <v>79</v>
      </c>
      <c r="K1192" s="511"/>
      <c r="L1192" s="535" t="s">
        <v>80</v>
      </c>
      <c r="M1192" s="536"/>
      <c r="N1192" s="516" t="s">
        <v>81</v>
      </c>
    </row>
    <row r="1193" spans="2:21" ht="20.100000000000001" customHeight="1">
      <c r="D1193" s="31"/>
      <c r="E1193" s="32"/>
      <c r="F1193" s="32"/>
      <c r="G1193" s="32"/>
      <c r="H1193" s="33"/>
      <c r="I1193" s="34"/>
      <c r="J1193" s="51" t="s">
        <v>82</v>
      </c>
      <c r="K1193" s="51" t="s">
        <v>83</v>
      </c>
      <c r="L1193" s="51" t="s">
        <v>82</v>
      </c>
      <c r="M1193" s="51" t="s">
        <v>84</v>
      </c>
      <c r="N1193" s="517"/>
    </row>
    <row r="1194" spans="2:21" ht="20.100000000000001" customHeight="1">
      <c r="B1194" s="260" t="s">
        <v>286</v>
      </c>
      <c r="D1194" s="264" t="str">
        <f t="shared" ref="D1194:D1200" si="94">IF(B1194=0,0,VLOOKUP(B1194,EQUIP,3,FALSE))</f>
        <v>CARREGADEIRA DE PNEUS - 3,1 m³ (127KW)</v>
      </c>
      <c r="E1194" s="265"/>
      <c r="F1194" s="265"/>
      <c r="G1194" s="265"/>
      <c r="H1194" s="266"/>
      <c r="I1194" s="318">
        <v>1</v>
      </c>
      <c r="J1194" s="318">
        <v>1</v>
      </c>
      <c r="K1194" s="318">
        <v>0</v>
      </c>
      <c r="L1194" s="318">
        <f t="shared" ref="L1194:L1200" si="95">IF(B1194=0,0,VLOOKUP(B1194,EQUIP,6,FALSE))</f>
        <v>185.29</v>
      </c>
      <c r="M1194" s="318">
        <f t="shared" ref="M1194:M1200" si="96">IF(B1194=0,0,VLOOKUP(B1194,EQUIP,7,FALSE))</f>
        <v>22.39</v>
      </c>
      <c r="N1194" s="319">
        <f t="shared" ref="N1194:N1200" si="97">ROUND(I1194*J1194*L1194+I1194*K1194*M1194,2)</f>
        <v>185.29</v>
      </c>
    </row>
    <row r="1195" spans="2:21" ht="20.100000000000001" customHeight="1">
      <c r="B1195" s="260" t="s">
        <v>415</v>
      </c>
      <c r="D1195" s="264" t="str">
        <f t="shared" si="94"/>
        <v>TRATOR DE ESTEIRAS - COM LÂMINA (104 KW)</v>
      </c>
      <c r="E1195" s="265"/>
      <c r="F1195" s="265"/>
      <c r="G1195" s="265"/>
      <c r="H1195" s="266"/>
      <c r="I1195" s="263">
        <v>1</v>
      </c>
      <c r="J1195" s="263">
        <v>0.9</v>
      </c>
      <c r="K1195" s="318">
        <v>0.1</v>
      </c>
      <c r="L1195" s="318">
        <f t="shared" si="95"/>
        <v>334.66</v>
      </c>
      <c r="M1195" s="318">
        <f t="shared" si="96"/>
        <v>22.39</v>
      </c>
      <c r="N1195" s="319">
        <f t="shared" si="97"/>
        <v>303.43</v>
      </c>
    </row>
    <row r="1196" spans="2:21" ht="20.100000000000001" customHeight="1">
      <c r="B1196" s="260" t="s">
        <v>512</v>
      </c>
      <c r="D1196" s="264" t="str">
        <f t="shared" si="94"/>
        <v>MOTONIVELADORA CATERPILLAR CAT-1208</v>
      </c>
      <c r="E1196" s="265"/>
      <c r="F1196" s="265"/>
      <c r="G1196" s="265"/>
      <c r="H1196" s="266"/>
      <c r="I1196" s="318">
        <v>1</v>
      </c>
      <c r="J1196" s="318">
        <v>0.1</v>
      </c>
      <c r="K1196" s="318">
        <v>0.9</v>
      </c>
      <c r="L1196" s="318">
        <f t="shared" si="95"/>
        <v>153.06</v>
      </c>
      <c r="M1196" s="318">
        <f t="shared" si="96"/>
        <v>22.39</v>
      </c>
      <c r="N1196" s="319">
        <f t="shared" si="97"/>
        <v>35.46</v>
      </c>
    </row>
    <row r="1197" spans="2:21" ht="20.100000000000001" customHeight="1">
      <c r="B1197" s="260" t="s">
        <v>265</v>
      </c>
      <c r="D1197" s="264" t="str">
        <f t="shared" si="94"/>
        <v>CAMINHÃO TANQUE 10.000 l</v>
      </c>
      <c r="E1197" s="265"/>
      <c r="F1197" s="265"/>
      <c r="G1197" s="265"/>
      <c r="H1197" s="266"/>
      <c r="I1197" s="263">
        <v>1</v>
      </c>
      <c r="J1197" s="263">
        <v>0.1</v>
      </c>
      <c r="K1197" s="318">
        <v>0.9</v>
      </c>
      <c r="L1197" s="318">
        <f t="shared" si="95"/>
        <v>126.87</v>
      </c>
      <c r="M1197" s="318">
        <f t="shared" si="96"/>
        <v>20.47</v>
      </c>
      <c r="N1197" s="319">
        <f t="shared" si="97"/>
        <v>31.11</v>
      </c>
    </row>
    <row r="1198" spans="2:21" ht="20.100000000000001" customHeight="1">
      <c r="B1198" s="260"/>
      <c r="D1198" s="264">
        <f t="shared" si="94"/>
        <v>0</v>
      </c>
      <c r="E1198" s="265"/>
      <c r="F1198" s="265"/>
      <c r="G1198" s="265"/>
      <c r="H1198" s="266"/>
      <c r="I1198" s="263"/>
      <c r="J1198" s="263"/>
      <c r="K1198" s="318"/>
      <c r="L1198" s="318">
        <f t="shared" si="95"/>
        <v>0</v>
      </c>
      <c r="M1198" s="318">
        <f t="shared" si="96"/>
        <v>0</v>
      </c>
      <c r="N1198" s="319">
        <f t="shared" si="97"/>
        <v>0</v>
      </c>
    </row>
    <row r="1199" spans="2:21" ht="20.100000000000001" customHeight="1">
      <c r="B1199" s="260"/>
      <c r="D1199" s="264">
        <f t="shared" si="94"/>
        <v>0</v>
      </c>
      <c r="E1199" s="265"/>
      <c r="F1199" s="265"/>
      <c r="G1199" s="265"/>
      <c r="H1199" s="266"/>
      <c r="I1199" s="263"/>
      <c r="J1199" s="318"/>
      <c r="K1199" s="318"/>
      <c r="L1199" s="318">
        <f t="shared" si="95"/>
        <v>0</v>
      </c>
      <c r="M1199" s="318">
        <f t="shared" si="96"/>
        <v>0</v>
      </c>
      <c r="N1199" s="319">
        <f t="shared" si="97"/>
        <v>0</v>
      </c>
    </row>
    <row r="1200" spans="2:21" ht="20.100000000000001" customHeight="1">
      <c r="B1200" s="260"/>
      <c r="D1200" s="264">
        <f t="shared" si="94"/>
        <v>0</v>
      </c>
      <c r="E1200" s="265"/>
      <c r="F1200" s="265"/>
      <c r="G1200" s="265"/>
      <c r="H1200" s="266"/>
      <c r="I1200" s="263"/>
      <c r="J1200" s="318"/>
      <c r="K1200" s="318"/>
      <c r="L1200" s="318">
        <f t="shared" si="95"/>
        <v>0</v>
      </c>
      <c r="M1200" s="318">
        <f t="shared" si="96"/>
        <v>0</v>
      </c>
      <c r="N1200" s="319">
        <f t="shared" si="97"/>
        <v>0</v>
      </c>
    </row>
    <row r="1201" spans="2:14" ht="20.100000000000001" customHeight="1">
      <c r="D1201" s="155"/>
      <c r="E1201" s="156"/>
      <c r="F1201" s="156"/>
      <c r="G1201" s="156"/>
      <c r="H1201" s="156"/>
      <c r="I1201" s="235"/>
      <c r="J1201" s="157"/>
      <c r="K1201" s="157"/>
      <c r="L1201" s="216"/>
      <c r="M1201" s="42" t="s">
        <v>89</v>
      </c>
      <c r="N1201" s="270">
        <f>SUM(N1194:N1200)</f>
        <v>555.29000000000008</v>
      </c>
    </row>
    <row r="1202" spans="2:14" ht="3.95" customHeight="1">
      <c r="D1202" s="158"/>
      <c r="E1202" s="159"/>
      <c r="F1202" s="159"/>
      <c r="G1202" s="160"/>
      <c r="H1202" s="159"/>
      <c r="I1202" s="236"/>
      <c r="J1202" s="161"/>
      <c r="K1202" s="162"/>
      <c r="L1202" s="163"/>
      <c r="M1202" s="163"/>
      <c r="N1202" s="300"/>
    </row>
    <row r="1203" spans="2:14" ht="20.100000000000001" customHeight="1">
      <c r="D1203" s="518" t="s">
        <v>90</v>
      </c>
      <c r="E1203" s="519"/>
      <c r="F1203" s="519"/>
      <c r="G1203" s="519"/>
      <c r="H1203" s="519"/>
      <c r="I1203" s="519"/>
      <c r="J1203" s="513"/>
      <c r="K1203" s="50" t="s">
        <v>91</v>
      </c>
      <c r="L1203" s="51" t="s">
        <v>92</v>
      </c>
      <c r="M1203" s="51" t="s">
        <v>93</v>
      </c>
      <c r="N1203" s="272" t="s">
        <v>94</v>
      </c>
    </row>
    <row r="1204" spans="2:14" ht="20.100000000000001" customHeight="1">
      <c r="B1204" s="260" t="s">
        <v>247</v>
      </c>
      <c r="D1204" s="264" t="str">
        <f>IF(B1204=0,0,VLOOKUP(B1204,MO,2,FALSE))</f>
        <v>ENCARREGADO DE TURMA</v>
      </c>
      <c r="E1204" s="53"/>
      <c r="F1204" s="53"/>
      <c r="G1204" s="53"/>
      <c r="H1204" s="53"/>
      <c r="I1204" s="36"/>
      <c r="J1204" s="54"/>
      <c r="K1204" s="152"/>
      <c r="L1204" s="164">
        <v>1</v>
      </c>
      <c r="M1204" s="263">
        <f>IF(B1204=0,0,VLOOKUP(B1204,MO,6,FALSE))</f>
        <v>27</v>
      </c>
      <c r="N1204" s="316">
        <f>ROUND(L1204*M1204,2)</f>
        <v>27</v>
      </c>
    </row>
    <row r="1205" spans="2:14" ht="20.100000000000001" customHeight="1">
      <c r="B1205" s="260" t="s">
        <v>248</v>
      </c>
      <c r="D1205" s="264" t="str">
        <f>IF(B1205=0,0,VLOOKUP(B1205,MO,2,FALSE))</f>
        <v>SERVENTE</v>
      </c>
      <c r="E1205" s="53"/>
      <c r="F1205" s="53"/>
      <c r="G1205" s="53"/>
      <c r="H1205" s="53"/>
      <c r="I1205" s="36"/>
      <c r="J1205" s="54"/>
      <c r="K1205" s="152"/>
      <c r="L1205" s="164">
        <v>2</v>
      </c>
      <c r="M1205" s="263">
        <f>IF(B1205=0,0,VLOOKUP(B1205,MO,6,FALSE))</f>
        <v>7.9973000000000001</v>
      </c>
      <c r="N1205" s="316">
        <f>ROUND(L1205*M1205,2)</f>
        <v>15.99</v>
      </c>
    </row>
    <row r="1206" spans="2:14" ht="20.100000000000001" customHeight="1">
      <c r="B1206" s="260"/>
      <c r="D1206" s="52" t="s">
        <v>122</v>
      </c>
      <c r="E1206" s="53"/>
      <c r="F1206" s="53"/>
      <c r="G1206" s="53"/>
      <c r="H1206" s="53"/>
      <c r="I1206" s="36"/>
      <c r="J1206" s="54"/>
      <c r="K1206" s="165">
        <v>0</v>
      </c>
      <c r="L1206" s="320">
        <f>N1204+N1205</f>
        <v>42.99</v>
      </c>
      <c r="M1206" s="164"/>
      <c r="N1206" s="316">
        <f>ROUND(L1206*K1206,2)</f>
        <v>0</v>
      </c>
    </row>
    <row r="1207" spans="2:14" ht="20.100000000000001" customHeight="1">
      <c r="D1207" s="167"/>
      <c r="E1207" s="59"/>
      <c r="F1207" s="168"/>
      <c r="G1207" s="168"/>
      <c r="H1207" s="159"/>
      <c r="I1207" s="236"/>
      <c r="J1207" s="169"/>
      <c r="K1207" s="162"/>
      <c r="L1207" s="163"/>
      <c r="M1207" s="62" t="s">
        <v>98</v>
      </c>
      <c r="N1207" s="302">
        <f>SUM(N1204:N1206)</f>
        <v>42.99</v>
      </c>
    </row>
    <row r="1208" spans="2:14" ht="3.95" customHeight="1">
      <c r="D1208" s="158"/>
      <c r="E1208" s="159"/>
      <c r="F1208" s="159"/>
      <c r="G1208" s="159"/>
      <c r="H1208" s="159"/>
      <c r="I1208" s="236"/>
      <c r="J1208" s="169"/>
      <c r="K1208" s="162"/>
      <c r="L1208" s="163"/>
      <c r="M1208" s="163"/>
      <c r="N1208" s="300"/>
    </row>
    <row r="1209" spans="2:14" ht="20.100000000000001" customHeight="1">
      <c r="D1209" s="170"/>
      <c r="E1209" s="168"/>
      <c r="F1209" s="168"/>
      <c r="G1209" s="168"/>
      <c r="H1209" s="171"/>
      <c r="I1209" s="237"/>
      <c r="J1209" s="171"/>
      <c r="K1209" s="509" t="s">
        <v>99</v>
      </c>
      <c r="L1209" s="510"/>
      <c r="M1209" s="511"/>
      <c r="N1209" s="303">
        <f>+N1201+N1207</f>
        <v>598.28000000000009</v>
      </c>
    </row>
    <row r="1210" spans="2:14" ht="3.95" customHeight="1">
      <c r="D1210" s="172"/>
      <c r="E1210" s="159"/>
      <c r="F1210" s="159"/>
      <c r="G1210" s="160"/>
      <c r="H1210" s="159"/>
      <c r="I1210" s="236"/>
      <c r="J1210" s="161"/>
      <c r="K1210" s="162"/>
      <c r="L1210" s="163"/>
      <c r="M1210" s="163"/>
      <c r="N1210" s="300"/>
    </row>
    <row r="1211" spans="2:14" ht="20.100000000000001" customHeight="1">
      <c r="D1211" s="167"/>
      <c r="E1211" s="509" t="s">
        <v>100</v>
      </c>
      <c r="F1211" s="510"/>
      <c r="G1211" s="510"/>
      <c r="H1211" s="511"/>
      <c r="I1211" s="238">
        <v>120</v>
      </c>
      <c r="J1211" s="163"/>
      <c r="K1211" s="506" t="s">
        <v>101</v>
      </c>
      <c r="L1211" s="507"/>
      <c r="M1211" s="508"/>
      <c r="N1211" s="304">
        <f>ROUND(N1209/I1211,2)</f>
        <v>4.99</v>
      </c>
    </row>
    <row r="1212" spans="2:14" ht="3.95" customHeight="1">
      <c r="D1212" s="158"/>
      <c r="E1212" s="159"/>
      <c r="F1212" s="159"/>
      <c r="G1212" s="173"/>
      <c r="H1212" s="159"/>
      <c r="I1212" s="163"/>
      <c r="J1212" s="161"/>
      <c r="K1212" s="161"/>
      <c r="L1212" s="163"/>
      <c r="M1212" s="161"/>
      <c r="N1212" s="305"/>
    </row>
    <row r="1213" spans="2:14" ht="20.100000000000001" customHeight="1">
      <c r="D1213" s="49" t="s">
        <v>102</v>
      </c>
      <c r="E1213" s="22"/>
      <c r="F1213" s="22"/>
      <c r="G1213" s="22"/>
      <c r="H1213" s="22"/>
      <c r="I1213" s="141"/>
      <c r="J1213" s="23"/>
      <c r="K1213" s="50" t="s">
        <v>103</v>
      </c>
      <c r="L1213" s="51" t="s">
        <v>80</v>
      </c>
      <c r="M1213" s="51" t="s">
        <v>104</v>
      </c>
      <c r="N1213" s="272" t="s">
        <v>105</v>
      </c>
    </row>
    <row r="1214" spans="2:14" ht="20.100000000000001" customHeight="1">
      <c r="B1214" s="260"/>
      <c r="D1214" s="264">
        <f>IF(B1214=0,0,VLOOKUP(B1214,MAT,3,FALSE))</f>
        <v>0</v>
      </c>
      <c r="E1214" s="53"/>
      <c r="F1214" s="53"/>
      <c r="G1214" s="53"/>
      <c r="H1214" s="53"/>
      <c r="I1214" s="36"/>
      <c r="J1214" s="54"/>
      <c r="K1214" s="262">
        <f>IF(B1214=0,0,VLOOKUP(B1214,MAT,5,FALSE))</f>
        <v>0</v>
      </c>
      <c r="L1214" s="267">
        <f>IF(B1214=0,0,VLOOKUP(B1214,MAT,6,FALSE))</f>
        <v>0</v>
      </c>
      <c r="M1214" s="174"/>
      <c r="N1214" s="316">
        <f>ROUND(L1214*M1214,2)</f>
        <v>0</v>
      </c>
    </row>
    <row r="1215" spans="2:14" ht="20.100000000000001" customHeight="1">
      <c r="B1215" s="260"/>
      <c r="D1215" s="264">
        <f>IF(B1215=0,0,VLOOKUP(B1215,MAT,3,FALSE))</f>
        <v>0</v>
      </c>
      <c r="E1215" s="53"/>
      <c r="F1215" s="53"/>
      <c r="G1215" s="53"/>
      <c r="H1215" s="53"/>
      <c r="I1215" s="36"/>
      <c r="J1215" s="54"/>
      <c r="K1215" s="262">
        <f>IF(B1215=0,0,VLOOKUP(B1215,MAT,5,FALSE))</f>
        <v>0</v>
      </c>
      <c r="L1215" s="267">
        <f>IF(B1215=0,0,VLOOKUP(B1215,MAT,6,FALSE))</f>
        <v>0</v>
      </c>
      <c r="M1215" s="174"/>
      <c r="N1215" s="316">
        <f>ROUND(L1215*M1215,2)</f>
        <v>0</v>
      </c>
    </row>
    <row r="1216" spans="2:14" ht="20.100000000000001" customHeight="1">
      <c r="B1216" s="260"/>
      <c r="D1216" s="264">
        <f>IF(B1216=0,0,VLOOKUP(B1216,MAT,3,FALSE))</f>
        <v>0</v>
      </c>
      <c r="E1216" s="53"/>
      <c r="F1216" s="53"/>
      <c r="G1216" s="53"/>
      <c r="H1216" s="53"/>
      <c r="I1216" s="36"/>
      <c r="J1216" s="54"/>
      <c r="K1216" s="262">
        <f>IF(B1216=0,0,VLOOKUP(B1216,MAT,5,FALSE))</f>
        <v>0</v>
      </c>
      <c r="L1216" s="267">
        <f>IF(B1216=0,0,VLOOKUP(B1216,MAT,6,FALSE))</f>
        <v>0</v>
      </c>
      <c r="M1216" s="174"/>
      <c r="N1216" s="316">
        <f>ROUND(L1216*M1216,2)</f>
        <v>0</v>
      </c>
    </row>
    <row r="1217" spans="2:21" ht="20.100000000000001" customHeight="1">
      <c r="D1217" s="158"/>
      <c r="E1217" s="159"/>
      <c r="F1217" s="159"/>
      <c r="G1217" s="173"/>
      <c r="H1217" s="159"/>
      <c r="I1217" s="163"/>
      <c r="J1217" s="161"/>
      <c r="K1217" s="161"/>
      <c r="L1217" s="163"/>
      <c r="M1217" s="71" t="s">
        <v>106</v>
      </c>
      <c r="N1217" s="437">
        <f>SUM(N1214:N1216)</f>
        <v>0</v>
      </c>
    </row>
    <row r="1218" spans="2:21" ht="20.100000000000001" customHeight="1">
      <c r="D1218" s="158"/>
      <c r="E1218" s="159"/>
      <c r="F1218" s="159"/>
      <c r="G1218" s="173"/>
      <c r="H1218" s="159"/>
      <c r="I1218" s="163"/>
      <c r="J1218" s="161"/>
      <c r="K1218" s="161"/>
      <c r="L1218" s="163"/>
      <c r="M1218" s="161"/>
      <c r="N1218" s="305"/>
    </row>
    <row r="1219" spans="2:21" ht="20.100000000000001" customHeight="1">
      <c r="D1219" s="527" t="s">
        <v>107</v>
      </c>
      <c r="E1219" s="72" t="s">
        <v>2</v>
      </c>
      <c r="F1219" s="73"/>
      <c r="G1219" s="73"/>
      <c r="H1219" s="74"/>
      <c r="I1219" s="498" t="s">
        <v>108</v>
      </c>
      <c r="J1219" s="499"/>
      <c r="K1219" s="531" t="s">
        <v>103</v>
      </c>
      <c r="L1219" s="514" t="s">
        <v>80</v>
      </c>
      <c r="M1219" s="531" t="s">
        <v>109</v>
      </c>
      <c r="N1219" s="529" t="s">
        <v>105</v>
      </c>
    </row>
    <row r="1220" spans="2:21" ht="20.100000000000001" customHeight="1">
      <c r="D1220" s="528"/>
      <c r="E1220" s="512" t="s">
        <v>110</v>
      </c>
      <c r="F1220" s="513"/>
      <c r="G1220" s="512" t="s">
        <v>111</v>
      </c>
      <c r="H1220" s="513"/>
      <c r="I1220" s="500"/>
      <c r="J1220" s="501"/>
      <c r="K1220" s="532"/>
      <c r="L1220" s="515"/>
      <c r="M1220" s="532"/>
      <c r="N1220" s="530"/>
    </row>
    <row r="1221" spans="2:21" ht="20.100000000000001" customHeight="1">
      <c r="B1221" s="260"/>
      <c r="D1221" s="261">
        <f>IF(B1221=0,0,VLOOKUP(B1221,TRANS,3,FALSE))</f>
        <v>0</v>
      </c>
      <c r="E1221" s="581">
        <f>IF(B1221=0,0,VLOOKUP(B1221,TRANS,5,FALSE))</f>
        <v>0</v>
      </c>
      <c r="F1221" s="582"/>
      <c r="G1221" s="502"/>
      <c r="H1221" s="503"/>
      <c r="I1221" s="533"/>
      <c r="J1221" s="534">
        <v>50</v>
      </c>
      <c r="K1221" s="262">
        <f>IF(B1221=0,0,VLOOKUP(B1221,TRANS,4,FALSE))</f>
        <v>0</v>
      </c>
      <c r="L1221" s="267">
        <f>E1221*I1221</f>
        <v>0</v>
      </c>
      <c r="M1221" s="70"/>
      <c r="N1221" s="317">
        <f>ROUND(L1221*M1221,2)</f>
        <v>0</v>
      </c>
    </row>
    <row r="1222" spans="2:21" ht="20.100000000000001" customHeight="1">
      <c r="B1222" s="260"/>
      <c r="D1222" s="261"/>
      <c r="E1222" s="504"/>
      <c r="F1222" s="505"/>
      <c r="G1222" s="502"/>
      <c r="H1222" s="503"/>
      <c r="I1222" s="533"/>
      <c r="J1222" s="534"/>
      <c r="K1222" s="66"/>
      <c r="L1222" s="67"/>
      <c r="M1222" s="70"/>
      <c r="N1222" s="278"/>
    </row>
    <row r="1223" spans="2:21" ht="20.100000000000001" customHeight="1">
      <c r="D1223" s="175"/>
      <c r="E1223" s="176"/>
      <c r="F1223" s="159"/>
      <c r="G1223" s="173"/>
      <c r="H1223" s="159"/>
      <c r="I1223" s="163"/>
      <c r="J1223" s="161"/>
      <c r="K1223" s="161"/>
      <c r="L1223" s="163"/>
      <c r="M1223" s="71" t="s">
        <v>112</v>
      </c>
      <c r="N1223" s="437">
        <f>SUM(N1221:N1222)</f>
        <v>0</v>
      </c>
    </row>
    <row r="1224" spans="2:21" ht="3.95" customHeight="1" thickBot="1">
      <c r="D1224" s="175"/>
      <c r="E1224" s="159"/>
      <c r="F1224" s="173"/>
      <c r="G1224" s="159"/>
      <c r="H1224" s="161"/>
      <c r="I1224" s="163"/>
      <c r="J1224" s="161"/>
      <c r="K1224" s="161"/>
      <c r="L1224" s="163"/>
      <c r="M1224" s="161">
        <v>0</v>
      </c>
      <c r="N1224" s="305"/>
    </row>
    <row r="1225" spans="2:21" ht="20.100000000000001" customHeight="1">
      <c r="D1225" s="177"/>
      <c r="E1225" s="178"/>
      <c r="F1225" s="178"/>
      <c r="G1225" s="178"/>
      <c r="H1225" s="179"/>
      <c r="I1225" s="239"/>
      <c r="J1225" s="127" t="s">
        <v>114</v>
      </c>
      <c r="K1225" s="128"/>
      <c r="L1225" s="306"/>
      <c r="M1225" s="129">
        <v>0</v>
      </c>
      <c r="N1225" s="447">
        <f>(+$N1211+$N1217+$N1223)*M1225</f>
        <v>0</v>
      </c>
    </row>
    <row r="1226" spans="2:21" ht="20.100000000000001" customHeight="1" thickBot="1">
      <c r="D1226" s="180"/>
      <c r="E1226" s="181"/>
      <c r="F1226" s="181"/>
      <c r="G1226" s="181"/>
      <c r="H1226" s="181"/>
      <c r="I1226" s="240"/>
      <c r="J1226" s="537" t="s">
        <v>149</v>
      </c>
      <c r="K1226" s="538"/>
      <c r="L1226" s="538"/>
      <c r="M1226" s="538"/>
      <c r="N1226" s="308">
        <f>+$N1211+$N1217+$N1223+N1225</f>
        <v>4.99</v>
      </c>
    </row>
    <row r="1227" spans="2:21" ht="20.100000000000001" customHeight="1" thickBot="1">
      <c r="D1227" s="182"/>
      <c r="E1227" s="183"/>
      <c r="F1227" s="183"/>
      <c r="G1227" s="183"/>
      <c r="H1227" s="183"/>
      <c r="I1227" s="241"/>
      <c r="J1227" s="184" t="s">
        <v>158</v>
      </c>
      <c r="K1227" s="185"/>
      <c r="L1227" s="309"/>
      <c r="M1227" s="186">
        <v>0</v>
      </c>
      <c r="N1227" s="310">
        <f>(M1227*N1226)+N1226</f>
        <v>4.99</v>
      </c>
      <c r="O1227" s="210"/>
      <c r="P1227" s="16">
        <v>48.42</v>
      </c>
      <c r="R1227" s="90">
        <f>(N1227/P1227)-1</f>
        <v>-0.89694341181330028</v>
      </c>
    </row>
    <row r="1230" spans="2:21" ht="20.100000000000001" customHeight="1" thickBot="1"/>
    <row r="1231" spans="2:21" ht="20.100000000000001" customHeight="1">
      <c r="D1231" s="598" t="s">
        <v>316</v>
      </c>
      <c r="E1231" s="599"/>
      <c r="F1231" s="524" t="s">
        <v>74</v>
      </c>
      <c r="G1231" s="525"/>
      <c r="H1231" s="525"/>
      <c r="I1231" s="525"/>
      <c r="J1231" s="525"/>
      <c r="K1231" s="525"/>
      <c r="L1231" s="526"/>
      <c r="M1231" s="19" t="s">
        <v>75</v>
      </c>
      <c r="N1231" s="20" t="s">
        <v>76</v>
      </c>
      <c r="U1231" s="132">
        <f>N1271</f>
        <v>65.77427999999999</v>
      </c>
    </row>
    <row r="1232" spans="2:21" ht="20.100000000000001" customHeight="1">
      <c r="D1232" s="600"/>
      <c r="E1232" s="601"/>
      <c r="F1232" s="512" t="str">
        <f>MAT!D20</f>
        <v>CIMENTO PORTLAND CP-32</v>
      </c>
      <c r="G1232" s="519"/>
      <c r="H1232" s="519"/>
      <c r="I1232" s="519"/>
      <c r="J1232" s="519"/>
      <c r="K1232" s="519"/>
      <c r="L1232" s="513"/>
      <c r="M1232" s="24" t="str">
        <f>MAT!F20</f>
        <v>KG</v>
      </c>
      <c r="N1232" s="25">
        <f>DATA</f>
        <v>41214</v>
      </c>
    </row>
    <row r="1233" spans="2:14" ht="20.100000000000001" customHeight="1">
      <c r="D1233" s="26" t="s">
        <v>77</v>
      </c>
      <c r="E1233" s="27"/>
      <c r="F1233" s="27"/>
      <c r="G1233" s="27"/>
      <c r="H1233" s="28"/>
      <c r="I1233" s="214" t="s">
        <v>78</v>
      </c>
      <c r="J1233" s="509" t="s">
        <v>79</v>
      </c>
      <c r="K1233" s="511"/>
      <c r="L1233" s="535" t="s">
        <v>80</v>
      </c>
      <c r="M1233" s="536"/>
      <c r="N1233" s="516" t="s">
        <v>81</v>
      </c>
    </row>
    <row r="1234" spans="2:14" ht="20.100000000000001" customHeight="1">
      <c r="D1234" s="31"/>
      <c r="E1234" s="32"/>
      <c r="F1234" s="32"/>
      <c r="G1234" s="32"/>
      <c r="H1234" s="33"/>
      <c r="I1234" s="34"/>
      <c r="J1234" s="51" t="s">
        <v>82</v>
      </c>
      <c r="K1234" s="51" t="s">
        <v>83</v>
      </c>
      <c r="L1234" s="51" t="s">
        <v>82</v>
      </c>
      <c r="M1234" s="51" t="s">
        <v>84</v>
      </c>
      <c r="N1234" s="517"/>
    </row>
    <row r="1235" spans="2:14" ht="20.100000000000001" customHeight="1">
      <c r="B1235" s="260"/>
      <c r="D1235" s="264">
        <f t="shared" ref="D1235:D1241" si="98">IF(B1235=0,0,VLOOKUP(B1235,EQUIP,3,FALSE))</f>
        <v>0</v>
      </c>
      <c r="E1235" s="265"/>
      <c r="F1235" s="265"/>
      <c r="G1235" s="265"/>
      <c r="H1235" s="266"/>
      <c r="I1235" s="318"/>
      <c r="J1235" s="318"/>
      <c r="K1235" s="318"/>
      <c r="L1235" s="318">
        <f t="shared" ref="L1235:L1241" si="99">IF(B1235=0,0,VLOOKUP(B1235,EQUIP,6,FALSE))</f>
        <v>0</v>
      </c>
      <c r="M1235" s="318">
        <f t="shared" ref="M1235:M1241" si="100">IF(B1235=0,0,VLOOKUP(B1235,EQUIP,7,FALSE))</f>
        <v>0</v>
      </c>
      <c r="N1235" s="319">
        <f t="shared" ref="N1235:N1241" si="101">ROUND(I1235*J1235*L1235+I1235*K1235*M1235,2)</f>
        <v>0</v>
      </c>
    </row>
    <row r="1236" spans="2:14" ht="20.100000000000001" customHeight="1">
      <c r="B1236" s="260"/>
      <c r="D1236" s="264">
        <f t="shared" si="98"/>
        <v>0</v>
      </c>
      <c r="E1236" s="265"/>
      <c r="F1236" s="265"/>
      <c r="G1236" s="265"/>
      <c r="H1236" s="266"/>
      <c r="I1236" s="263"/>
      <c r="J1236" s="263"/>
      <c r="K1236" s="318"/>
      <c r="L1236" s="318">
        <f t="shared" si="99"/>
        <v>0</v>
      </c>
      <c r="M1236" s="318">
        <f t="shared" si="100"/>
        <v>0</v>
      </c>
      <c r="N1236" s="319">
        <f t="shared" si="101"/>
        <v>0</v>
      </c>
    </row>
    <row r="1237" spans="2:14" ht="20.100000000000001" customHeight="1">
      <c r="B1237" s="260"/>
      <c r="D1237" s="264">
        <f t="shared" si="98"/>
        <v>0</v>
      </c>
      <c r="E1237" s="265"/>
      <c r="F1237" s="265"/>
      <c r="G1237" s="265"/>
      <c r="H1237" s="266"/>
      <c r="I1237" s="318"/>
      <c r="J1237" s="318"/>
      <c r="K1237" s="318"/>
      <c r="L1237" s="318">
        <f t="shared" si="99"/>
        <v>0</v>
      </c>
      <c r="M1237" s="318">
        <f t="shared" si="100"/>
        <v>0</v>
      </c>
      <c r="N1237" s="319">
        <f t="shared" si="101"/>
        <v>0</v>
      </c>
    </row>
    <row r="1238" spans="2:14" ht="20.100000000000001" customHeight="1">
      <c r="B1238" s="260"/>
      <c r="D1238" s="264">
        <f t="shared" si="98"/>
        <v>0</v>
      </c>
      <c r="E1238" s="265"/>
      <c r="F1238" s="265"/>
      <c r="G1238" s="265"/>
      <c r="H1238" s="266"/>
      <c r="I1238" s="263"/>
      <c r="J1238" s="263"/>
      <c r="K1238" s="318"/>
      <c r="L1238" s="318">
        <f t="shared" si="99"/>
        <v>0</v>
      </c>
      <c r="M1238" s="318">
        <f t="shared" si="100"/>
        <v>0</v>
      </c>
      <c r="N1238" s="319">
        <f t="shared" si="101"/>
        <v>0</v>
      </c>
    </row>
    <row r="1239" spans="2:14" ht="20.100000000000001" customHeight="1">
      <c r="B1239" s="260"/>
      <c r="D1239" s="264">
        <f t="shared" si="98"/>
        <v>0</v>
      </c>
      <c r="E1239" s="265"/>
      <c r="F1239" s="265"/>
      <c r="G1239" s="265"/>
      <c r="H1239" s="266"/>
      <c r="I1239" s="263"/>
      <c r="J1239" s="263"/>
      <c r="K1239" s="318"/>
      <c r="L1239" s="318">
        <f t="shared" si="99"/>
        <v>0</v>
      </c>
      <c r="M1239" s="318">
        <f t="shared" si="100"/>
        <v>0</v>
      </c>
      <c r="N1239" s="319">
        <f t="shared" si="101"/>
        <v>0</v>
      </c>
    </row>
    <row r="1240" spans="2:14" ht="20.100000000000001" customHeight="1">
      <c r="B1240" s="260"/>
      <c r="D1240" s="264">
        <f t="shared" si="98"/>
        <v>0</v>
      </c>
      <c r="E1240" s="265"/>
      <c r="F1240" s="265"/>
      <c r="G1240" s="265"/>
      <c r="H1240" s="266"/>
      <c r="I1240" s="263"/>
      <c r="J1240" s="318"/>
      <c r="K1240" s="318"/>
      <c r="L1240" s="318">
        <f t="shared" si="99"/>
        <v>0</v>
      </c>
      <c r="M1240" s="318">
        <f t="shared" si="100"/>
        <v>0</v>
      </c>
      <c r="N1240" s="319">
        <f t="shared" si="101"/>
        <v>0</v>
      </c>
    </row>
    <row r="1241" spans="2:14" ht="20.100000000000001" customHeight="1">
      <c r="B1241" s="260"/>
      <c r="D1241" s="264">
        <f t="shared" si="98"/>
        <v>0</v>
      </c>
      <c r="E1241" s="265"/>
      <c r="F1241" s="265"/>
      <c r="G1241" s="265"/>
      <c r="H1241" s="266"/>
      <c r="I1241" s="263"/>
      <c r="J1241" s="318"/>
      <c r="K1241" s="318"/>
      <c r="L1241" s="318">
        <f t="shared" si="99"/>
        <v>0</v>
      </c>
      <c r="M1241" s="318">
        <f t="shared" si="100"/>
        <v>0</v>
      </c>
      <c r="N1241" s="319">
        <f t="shared" si="101"/>
        <v>0</v>
      </c>
    </row>
    <row r="1242" spans="2:14" ht="20.100000000000001" customHeight="1">
      <c r="D1242" s="155"/>
      <c r="E1242" s="156"/>
      <c r="F1242" s="156"/>
      <c r="G1242" s="156"/>
      <c r="H1242" s="156"/>
      <c r="I1242" s="235"/>
      <c r="J1242" s="157"/>
      <c r="K1242" s="157"/>
      <c r="L1242" s="216"/>
      <c r="M1242" s="42" t="s">
        <v>89</v>
      </c>
      <c r="N1242" s="441">
        <f>SUM(N1235:N1241)</f>
        <v>0</v>
      </c>
    </row>
    <row r="1243" spans="2:14" ht="3.95" customHeight="1">
      <c r="D1243" s="158"/>
      <c r="E1243" s="159"/>
      <c r="F1243" s="159"/>
      <c r="G1243" s="160"/>
      <c r="H1243" s="159"/>
      <c r="I1243" s="236"/>
      <c r="J1243" s="161"/>
      <c r="K1243" s="162"/>
      <c r="L1243" s="163"/>
      <c r="M1243" s="163"/>
      <c r="N1243" s="300"/>
    </row>
    <row r="1244" spans="2:14" ht="20.100000000000001" customHeight="1">
      <c r="D1244" s="518" t="s">
        <v>90</v>
      </c>
      <c r="E1244" s="519"/>
      <c r="F1244" s="519"/>
      <c r="G1244" s="519"/>
      <c r="H1244" s="519"/>
      <c r="I1244" s="519"/>
      <c r="J1244" s="513"/>
      <c r="K1244" s="50" t="s">
        <v>91</v>
      </c>
      <c r="L1244" s="51" t="s">
        <v>92</v>
      </c>
      <c r="M1244" s="51" t="s">
        <v>93</v>
      </c>
      <c r="N1244" s="272" t="s">
        <v>94</v>
      </c>
    </row>
    <row r="1245" spans="2:14" ht="20.100000000000001" customHeight="1">
      <c r="B1245" s="260"/>
      <c r="D1245" s="264">
        <f>IF(B1245=0,0,VLOOKUP(B1245,MO,2,FALSE))</f>
        <v>0</v>
      </c>
      <c r="E1245" s="53"/>
      <c r="F1245" s="53"/>
      <c r="G1245" s="53"/>
      <c r="H1245" s="53"/>
      <c r="I1245" s="36"/>
      <c r="J1245" s="54"/>
      <c r="K1245" s="152"/>
      <c r="L1245" s="164"/>
      <c r="M1245" s="263">
        <f>IF(B1245=0,0,VLOOKUP(B1245,MO,6,FALSE))</f>
        <v>0</v>
      </c>
      <c r="N1245" s="316">
        <f>ROUND(L1245*M1245,2)</f>
        <v>0</v>
      </c>
    </row>
    <row r="1246" spans="2:14" ht="20.100000000000001" customHeight="1">
      <c r="B1246" s="260"/>
      <c r="D1246" s="264">
        <f>IF(B1246=0,0,VLOOKUP(B1246,MO,2,FALSE))</f>
        <v>0</v>
      </c>
      <c r="E1246" s="53"/>
      <c r="F1246" s="53"/>
      <c r="G1246" s="53"/>
      <c r="H1246" s="53"/>
      <c r="I1246" s="36"/>
      <c r="J1246" s="54"/>
      <c r="K1246" s="152"/>
      <c r="L1246" s="164"/>
      <c r="M1246" s="263">
        <f>IF(B1246=0,0,VLOOKUP(B1246,MO,6,FALSE))</f>
        <v>0</v>
      </c>
      <c r="N1246" s="316">
        <f>ROUND(L1246*M1246,2)</f>
        <v>0</v>
      </c>
    </row>
    <row r="1247" spans="2:14" ht="20.100000000000001" customHeight="1">
      <c r="B1247" s="260"/>
      <c r="D1247" s="52" t="s">
        <v>122</v>
      </c>
      <c r="E1247" s="53"/>
      <c r="F1247" s="53"/>
      <c r="G1247" s="53"/>
      <c r="H1247" s="53"/>
      <c r="I1247" s="36"/>
      <c r="J1247" s="54"/>
      <c r="K1247" s="165">
        <v>0</v>
      </c>
      <c r="L1247" s="320">
        <f>N1245+N1246</f>
        <v>0</v>
      </c>
      <c r="M1247" s="164"/>
      <c r="N1247" s="316">
        <f>ROUND(L1247*K1247,2)</f>
        <v>0</v>
      </c>
    </row>
    <row r="1248" spans="2:14" ht="20.100000000000001" customHeight="1">
      <c r="D1248" s="167"/>
      <c r="E1248" s="59"/>
      <c r="F1248" s="168"/>
      <c r="G1248" s="168"/>
      <c r="H1248" s="159"/>
      <c r="I1248" s="236"/>
      <c r="J1248" s="169"/>
      <c r="K1248" s="162"/>
      <c r="L1248" s="163"/>
      <c r="M1248" s="62" t="s">
        <v>98</v>
      </c>
      <c r="N1248" s="437">
        <f>SUM(N1245:N1247)</f>
        <v>0</v>
      </c>
    </row>
    <row r="1249" spans="2:16" ht="3.95" customHeight="1">
      <c r="D1249" s="158"/>
      <c r="E1249" s="159"/>
      <c r="F1249" s="159"/>
      <c r="G1249" s="159"/>
      <c r="H1249" s="159"/>
      <c r="I1249" s="236"/>
      <c r="J1249" s="169"/>
      <c r="K1249" s="162"/>
      <c r="L1249" s="163"/>
      <c r="M1249" s="163"/>
      <c r="N1249" s="300"/>
    </row>
    <row r="1250" spans="2:16" ht="20.100000000000001" customHeight="1">
      <c r="D1250" s="170"/>
      <c r="E1250" s="168"/>
      <c r="F1250" s="168"/>
      <c r="G1250" s="168"/>
      <c r="H1250" s="171"/>
      <c r="I1250" s="237"/>
      <c r="J1250" s="171"/>
      <c r="K1250" s="509" t="s">
        <v>99</v>
      </c>
      <c r="L1250" s="510"/>
      <c r="M1250" s="511"/>
      <c r="N1250" s="439">
        <f>+N1242+N1248</f>
        <v>0</v>
      </c>
    </row>
    <row r="1251" spans="2:16" ht="3.95" customHeight="1">
      <c r="D1251" s="172"/>
      <c r="E1251" s="159"/>
      <c r="F1251" s="159"/>
      <c r="G1251" s="160"/>
      <c r="H1251" s="159"/>
      <c r="I1251" s="236"/>
      <c r="J1251" s="161"/>
      <c r="K1251" s="162"/>
      <c r="L1251" s="163"/>
      <c r="M1251" s="163"/>
      <c r="N1251" s="300"/>
    </row>
    <row r="1252" spans="2:16" ht="20.100000000000001" customHeight="1">
      <c r="D1252" s="167"/>
      <c r="E1252" s="509" t="s">
        <v>100</v>
      </c>
      <c r="F1252" s="510"/>
      <c r="G1252" s="510"/>
      <c r="H1252" s="511"/>
      <c r="I1252" s="238">
        <v>1</v>
      </c>
      <c r="J1252" s="163"/>
      <c r="K1252" s="506" t="s">
        <v>101</v>
      </c>
      <c r="L1252" s="507"/>
      <c r="M1252" s="508"/>
      <c r="N1252" s="440">
        <f>ROUND(N1250/I1252,2)</f>
        <v>0</v>
      </c>
    </row>
    <row r="1253" spans="2:16" ht="3.95" customHeight="1">
      <c r="D1253" s="158"/>
      <c r="E1253" s="159"/>
      <c r="F1253" s="159"/>
      <c r="G1253" s="173"/>
      <c r="H1253" s="159"/>
      <c r="I1253" s="163"/>
      <c r="J1253" s="161"/>
      <c r="K1253" s="161"/>
      <c r="L1253" s="163"/>
      <c r="M1253" s="161"/>
      <c r="N1253" s="305"/>
    </row>
    <row r="1254" spans="2:16" ht="20.100000000000001" customHeight="1">
      <c r="D1254" s="49" t="s">
        <v>102</v>
      </c>
      <c r="E1254" s="22"/>
      <c r="F1254" s="22"/>
      <c r="G1254" s="22"/>
      <c r="H1254" s="22"/>
      <c r="I1254" s="141"/>
      <c r="J1254" s="23"/>
      <c r="K1254" s="50" t="s">
        <v>103</v>
      </c>
      <c r="L1254" s="51" t="s">
        <v>80</v>
      </c>
      <c r="M1254" s="51" t="s">
        <v>104</v>
      </c>
      <c r="N1254" s="272" t="s">
        <v>105</v>
      </c>
    </row>
    <row r="1255" spans="2:16" ht="20.100000000000001" customHeight="1">
      <c r="B1255" s="260" t="s">
        <v>306</v>
      </c>
      <c r="D1255" s="52" t="str">
        <f>IF(B1255=0,0,VLOOKUP(B1255,MAT,3,FALSE))</f>
        <v>CBUQ - USINAGEM</v>
      </c>
      <c r="E1255" s="53"/>
      <c r="F1255" s="53"/>
      <c r="G1255" s="53"/>
      <c r="H1255" s="53"/>
      <c r="I1255" s="36"/>
      <c r="J1255" s="54"/>
      <c r="K1255" s="66" t="str">
        <f>IF(B1255=0,0,VLOOKUP(B1255,MAT,5,FALSE))</f>
        <v>T</v>
      </c>
      <c r="L1255" s="67">
        <f>IF(B1255=0,0,VLOOKUP(B1255,MAT,6,FALSE))</f>
        <v>40.11</v>
      </c>
      <c r="M1255" s="68">
        <v>1</v>
      </c>
      <c r="N1255" s="273">
        <f>ROUND(L1255*M1255,2)</f>
        <v>40.11</v>
      </c>
      <c r="O1255" s="389"/>
    </row>
    <row r="1256" spans="2:16" ht="20.100000000000001" customHeight="1">
      <c r="B1256" s="260" t="s">
        <v>305</v>
      </c>
      <c r="D1256" s="52" t="str">
        <f>IF(B1256=0,0,VLOOKUP(B1256,MAT,3,FALSE))</f>
        <v>BRITA COMERCIAL</v>
      </c>
      <c r="E1256" s="53"/>
      <c r="F1256" s="53"/>
      <c r="G1256" s="53"/>
      <c r="H1256" s="53"/>
      <c r="I1256" s="36"/>
      <c r="J1256" s="54"/>
      <c r="K1256" s="66" t="str">
        <f>IF(B1256=0,0,VLOOKUP(B1256,MAT,5,FALSE))</f>
        <v>M3</v>
      </c>
      <c r="L1256" s="67">
        <f>IF(B1256=0,0,VLOOKUP(B1256,MAT,6,FALSE))</f>
        <v>30.630000000000003</v>
      </c>
      <c r="M1256" s="68">
        <v>0.44700000000000001</v>
      </c>
      <c r="N1256" s="278">
        <f>(L1256*M1256)</f>
        <v>13.691610000000001</v>
      </c>
      <c r="O1256" s="389"/>
    </row>
    <row r="1257" spans="2:16" ht="20.100000000000001" customHeight="1">
      <c r="B1257" s="260" t="s">
        <v>303</v>
      </c>
      <c r="D1257" s="52" t="str">
        <f>IF(B1257=0,0,VLOOKUP(B1257,MAT,3,FALSE))</f>
        <v xml:space="preserve">AREIA </v>
      </c>
      <c r="E1257" s="53"/>
      <c r="F1257" s="53"/>
      <c r="G1257" s="53"/>
      <c r="H1257" s="53"/>
      <c r="I1257" s="36"/>
      <c r="J1257" s="54"/>
      <c r="K1257" s="66" t="str">
        <f>IF(B1257=0,0,VLOOKUP(B1257,MAT,5,FALSE))</f>
        <v>M3</v>
      </c>
      <c r="L1257" s="67">
        <f>IF(B1257=0,0,VLOOKUP(B1257,MAT,6,FALSE))</f>
        <v>23.28</v>
      </c>
      <c r="M1257" s="68">
        <v>0.161</v>
      </c>
      <c r="N1257" s="278">
        <f>(L1257*M1257)</f>
        <v>3.7480800000000003</v>
      </c>
      <c r="O1257" s="389"/>
    </row>
    <row r="1258" spans="2:16" ht="20.100000000000001" customHeight="1">
      <c r="B1258" s="260" t="s">
        <v>310</v>
      </c>
      <c r="D1258" s="52" t="str">
        <f>IF(B1258=0,0,VLOOKUP(B1258,MAT,3,FALSE))</f>
        <v>FILLER</v>
      </c>
      <c r="E1258" s="53"/>
      <c r="F1258" s="53"/>
      <c r="G1258" s="53"/>
      <c r="H1258" s="53"/>
      <c r="I1258" s="36"/>
      <c r="J1258" s="54"/>
      <c r="K1258" s="66" t="str">
        <f>IF(B1258=0,0,VLOOKUP(B1258,MAT,5,FALSE))</f>
        <v>KG</v>
      </c>
      <c r="L1258" s="67">
        <f>IF(B1258=0,0,VLOOKUP(B1258,MAT,6,FALSE))</f>
        <v>0.05</v>
      </c>
      <c r="M1258" s="68">
        <v>33</v>
      </c>
      <c r="N1258" s="278">
        <f>(L1258*M1258)</f>
        <v>1.6500000000000001</v>
      </c>
      <c r="O1258" s="389"/>
    </row>
    <row r="1259" spans="2:16" ht="20.100000000000001" customHeight="1">
      <c r="B1259" s="260"/>
      <c r="D1259" s="264">
        <f>IF(B1259=0,0,VLOOKUP(B1259,MAT,3,FALSE))</f>
        <v>0</v>
      </c>
      <c r="E1259" s="53"/>
      <c r="F1259" s="53"/>
      <c r="G1259" s="53"/>
      <c r="H1259" s="53"/>
      <c r="I1259" s="36"/>
      <c r="J1259" s="54"/>
      <c r="K1259" s="262">
        <f>IF(B1259=0,0,VLOOKUP(B1259,MAT,5,FALSE))</f>
        <v>0</v>
      </c>
      <c r="L1259" s="267">
        <f>IF(B1259=0,0,VLOOKUP(B1259,MAT,6,FALSE))</f>
        <v>0</v>
      </c>
      <c r="M1259" s="174"/>
      <c r="N1259" s="316">
        <f>ROUND(L1259*M1259,2)</f>
        <v>0</v>
      </c>
    </row>
    <row r="1260" spans="2:16" ht="20.100000000000001" customHeight="1">
      <c r="D1260" s="158"/>
      <c r="E1260" s="159"/>
      <c r="F1260" s="159"/>
      <c r="G1260" s="173"/>
      <c r="H1260" s="159"/>
      <c r="I1260" s="163"/>
      <c r="J1260" s="161"/>
      <c r="K1260" s="161"/>
      <c r="L1260" s="163"/>
      <c r="M1260" s="71" t="s">
        <v>106</v>
      </c>
      <c r="N1260" s="302">
        <f>SUM(N1255:N1259)</f>
        <v>59.199689999999997</v>
      </c>
    </row>
    <row r="1261" spans="2:16" ht="20.100000000000001" customHeight="1">
      <c r="D1261" s="158"/>
      <c r="E1261" s="159"/>
      <c r="F1261" s="159"/>
      <c r="G1261" s="173"/>
      <c r="H1261" s="159"/>
      <c r="I1261" s="163"/>
      <c r="J1261" s="161"/>
      <c r="K1261" s="161"/>
      <c r="L1261" s="163"/>
      <c r="M1261" s="161"/>
      <c r="N1261" s="305"/>
    </row>
    <row r="1262" spans="2:16" ht="20.100000000000001" customHeight="1">
      <c r="D1262" s="527" t="s">
        <v>107</v>
      </c>
      <c r="E1262" s="72" t="s">
        <v>2</v>
      </c>
      <c r="F1262" s="73"/>
      <c r="G1262" s="73"/>
      <c r="H1262" s="74"/>
      <c r="I1262" s="498" t="s">
        <v>108</v>
      </c>
      <c r="J1262" s="499"/>
      <c r="K1262" s="531" t="s">
        <v>103</v>
      </c>
      <c r="L1262" s="514" t="s">
        <v>80</v>
      </c>
      <c r="M1262" s="531" t="s">
        <v>109</v>
      </c>
      <c r="N1262" s="529" t="s">
        <v>105</v>
      </c>
    </row>
    <row r="1263" spans="2:16" ht="20.100000000000001" customHeight="1">
      <c r="D1263" s="528"/>
      <c r="E1263" s="512" t="s">
        <v>110</v>
      </c>
      <c r="F1263" s="513"/>
      <c r="G1263" s="512" t="s">
        <v>111</v>
      </c>
      <c r="H1263" s="513"/>
      <c r="I1263" s="500"/>
      <c r="J1263" s="501"/>
      <c r="K1263" s="532"/>
      <c r="L1263" s="515"/>
      <c r="M1263" s="532"/>
      <c r="N1263" s="530"/>
    </row>
    <row r="1264" spans="2:16" ht="20.100000000000001" customHeight="1">
      <c r="B1264" s="260" t="s">
        <v>328</v>
      </c>
      <c r="D1264" s="261" t="str">
        <f>IF(B1264=0,0,VLOOKUP(B1264,TRANS,3,FALSE))</f>
        <v>BRITA ( PED - USINA )</v>
      </c>
      <c r="E1264" s="504">
        <f>IF(B1264=0,0,VLOOKUP(B1264,TRANS,5,FALSE))</f>
        <v>0.33</v>
      </c>
      <c r="F1264" s="505"/>
      <c r="G1264" s="502"/>
      <c r="H1264" s="503"/>
      <c r="I1264" s="596">
        <v>20</v>
      </c>
      <c r="J1264" s="597"/>
      <c r="K1264" s="66" t="str">
        <f>IF(B1264=0,0,VLOOKUP(B1264,TRANS,4,FALSE))</f>
        <v>T.KM</v>
      </c>
      <c r="L1264" s="67">
        <f>(E1264*I1264)+H1264</f>
        <v>6.6000000000000005</v>
      </c>
      <c r="M1264" s="68">
        <f>M1256*1.5</f>
        <v>0.67049999999999998</v>
      </c>
      <c r="N1264" s="278">
        <f>(L1264*M1264)</f>
        <v>4.4253</v>
      </c>
      <c r="O1264" s="389"/>
      <c r="P1264" s="96"/>
    </row>
    <row r="1265" spans="2:18" ht="20.100000000000001" customHeight="1">
      <c r="B1265" s="260" t="s">
        <v>326</v>
      </c>
      <c r="D1265" s="261" t="str">
        <f>IF(B1265=0,0,VLOOKUP(B1265,TRANS,3,FALSE))</f>
        <v>AREIA ( AREAL - USINA )</v>
      </c>
      <c r="E1265" s="504">
        <f>IF(B1265=0,0,VLOOKUP(B1265,TRANS,5,FALSE))</f>
        <v>0.33</v>
      </c>
      <c r="F1265" s="505"/>
      <c r="G1265" s="545"/>
      <c r="H1265" s="546"/>
      <c r="I1265" s="596">
        <v>22</v>
      </c>
      <c r="J1265" s="597"/>
      <c r="K1265" s="66" t="str">
        <f>IF(B1265=0,0,VLOOKUP(B1265,TRANS,4,FALSE))</f>
        <v>T.KM</v>
      </c>
      <c r="L1265" s="67">
        <f>(E1265*I1265)+H1265</f>
        <v>7.2600000000000007</v>
      </c>
      <c r="M1265" s="68">
        <f>M1257*1.5</f>
        <v>0.24149999999999999</v>
      </c>
      <c r="N1265" s="278">
        <f>(L1265*M1265)</f>
        <v>1.75329</v>
      </c>
      <c r="O1265" s="389"/>
    </row>
    <row r="1266" spans="2:18" ht="20.100000000000001" customHeight="1">
      <c r="B1266" s="260" t="s">
        <v>334</v>
      </c>
      <c r="D1266" s="261" t="str">
        <f>IF(B1266=0,0,VLOOKUP(B1266,TRANS,3,FALSE))</f>
        <v>FILLER</v>
      </c>
      <c r="E1266" s="504">
        <f>IF(B1266=0,0,VLOOKUP(B1266,TRANS,5,FALSE))</f>
        <v>0.24</v>
      </c>
      <c r="F1266" s="505"/>
      <c r="G1266" s="545"/>
      <c r="H1266" s="546"/>
      <c r="I1266" s="596">
        <v>50</v>
      </c>
      <c r="J1266" s="597"/>
      <c r="K1266" s="263" t="str">
        <f>IF(B1266=0,0,VLOOKUP(B1266,TRANS,4,FALSE))</f>
        <v>T.KM</v>
      </c>
      <c r="L1266" s="67">
        <f>(E1266*I1266)+H1266</f>
        <v>12</v>
      </c>
      <c r="M1266" s="70">
        <f>M1258/1000</f>
        <v>3.3000000000000002E-2</v>
      </c>
      <c r="N1266" s="278">
        <f>L1266*M1266</f>
        <v>0.39600000000000002</v>
      </c>
      <c r="O1266" s="389"/>
    </row>
    <row r="1267" spans="2:18" ht="20.100000000000001" customHeight="1">
      <c r="D1267" s="175"/>
      <c r="E1267" s="176"/>
      <c r="F1267" s="159"/>
      <c r="G1267" s="173"/>
      <c r="H1267" s="159"/>
      <c r="I1267" s="163"/>
      <c r="J1267" s="161"/>
      <c r="K1267" s="161"/>
      <c r="L1267" s="163"/>
      <c r="M1267" s="71" t="s">
        <v>112</v>
      </c>
      <c r="N1267" s="302">
        <f>SUM(N1264:N1266)</f>
        <v>6.5745899999999997</v>
      </c>
    </row>
    <row r="1268" spans="2:18" ht="3.95" customHeight="1" thickBot="1">
      <c r="D1268" s="175"/>
      <c r="E1268" s="159"/>
      <c r="F1268" s="173"/>
      <c r="G1268" s="159"/>
      <c r="H1268" s="161"/>
      <c r="I1268" s="163"/>
      <c r="J1268" s="161"/>
      <c r="K1268" s="161"/>
      <c r="L1268" s="163"/>
      <c r="M1268" s="161">
        <v>0</v>
      </c>
      <c r="N1268" s="305"/>
    </row>
    <row r="1269" spans="2:18" ht="20.100000000000001" customHeight="1">
      <c r="D1269" s="177"/>
      <c r="E1269" s="178"/>
      <c r="F1269" s="178"/>
      <c r="G1269" s="178"/>
      <c r="H1269" s="179"/>
      <c r="I1269" s="239"/>
      <c r="J1269" s="127" t="s">
        <v>114</v>
      </c>
      <c r="K1269" s="128"/>
      <c r="L1269" s="306"/>
      <c r="M1269" s="129">
        <v>0</v>
      </c>
      <c r="N1269" s="307">
        <f>(+$N1252+$N1260+$N1267)*M1269</f>
        <v>0</v>
      </c>
    </row>
    <row r="1270" spans="2:18" ht="20.100000000000001" customHeight="1" thickBot="1">
      <c r="D1270" s="180"/>
      <c r="E1270" s="181"/>
      <c r="F1270" s="181"/>
      <c r="G1270" s="181"/>
      <c r="H1270" s="181"/>
      <c r="I1270" s="240"/>
      <c r="J1270" s="537" t="s">
        <v>149</v>
      </c>
      <c r="K1270" s="538"/>
      <c r="L1270" s="538"/>
      <c r="M1270" s="538"/>
      <c r="N1270" s="308">
        <f>+$N1252+$N1260+$N1267+N1269</f>
        <v>65.77427999999999</v>
      </c>
    </row>
    <row r="1271" spans="2:18" ht="20.100000000000001" customHeight="1" thickBot="1">
      <c r="D1271" s="182"/>
      <c r="E1271" s="183"/>
      <c r="F1271" s="183"/>
      <c r="G1271" s="183"/>
      <c r="H1271" s="183"/>
      <c r="I1271" s="241"/>
      <c r="J1271" s="184" t="s">
        <v>158</v>
      </c>
      <c r="K1271" s="185"/>
      <c r="L1271" s="309"/>
      <c r="M1271" s="186">
        <v>0</v>
      </c>
      <c r="N1271" s="310">
        <f>(M1271*N1270)+N1270</f>
        <v>65.77427999999999</v>
      </c>
      <c r="O1271" s="210"/>
      <c r="P1271" s="16">
        <v>48.42</v>
      </c>
      <c r="R1271" s="90">
        <f>(N1271/P1271)-1</f>
        <v>0.35841140024783114</v>
      </c>
    </row>
  </sheetData>
  <mergeCells count="768">
    <mergeCell ref="D1133:J1133"/>
    <mergeCell ref="K1141:M1141"/>
    <mergeCell ref="I1143:L1143"/>
    <mergeCell ref="E1126:F1126"/>
    <mergeCell ref="G1126:H1126"/>
    <mergeCell ref="I1126:J1126"/>
    <mergeCell ref="D362:J362"/>
    <mergeCell ref="E1265:F1265"/>
    <mergeCell ref="G1265:H1265"/>
    <mergeCell ref="I1265:J1265"/>
    <mergeCell ref="D1149:E1150"/>
    <mergeCell ref="F1149:L1149"/>
    <mergeCell ref="F1150:L1150"/>
    <mergeCell ref="E1125:F1125"/>
    <mergeCell ref="G1125:H1125"/>
    <mergeCell ref="I1125:J1125"/>
    <mergeCell ref="M1123:M1124"/>
    <mergeCell ref="D1097:E1098"/>
    <mergeCell ref="F1097:L1097"/>
    <mergeCell ref="F1098:L1098"/>
    <mergeCell ref="D1086:D1087"/>
    <mergeCell ref="I1086:J1087"/>
    <mergeCell ref="K1086:K1087"/>
    <mergeCell ref="L1086:L1087"/>
    <mergeCell ref="N1123:N1124"/>
    <mergeCell ref="E1124:F1124"/>
    <mergeCell ref="G1124:H1124"/>
    <mergeCell ref="D1123:D1124"/>
    <mergeCell ref="I1123:J1124"/>
    <mergeCell ref="K1123:K1124"/>
    <mergeCell ref="L1123:L1124"/>
    <mergeCell ref="K1129:M1129"/>
    <mergeCell ref="N1099:N1100"/>
    <mergeCell ref="D1108:J1108"/>
    <mergeCell ref="K1114:M1114"/>
    <mergeCell ref="E1116:H1116"/>
    <mergeCell ref="K1116:M1116"/>
    <mergeCell ref="J1099:K1099"/>
    <mergeCell ref="L1099:M1099"/>
    <mergeCell ref="M1086:M1087"/>
    <mergeCell ref="E1087:F1087"/>
    <mergeCell ref="G1087:H1087"/>
    <mergeCell ref="J1093:M1093"/>
    <mergeCell ref="N1086:N1087"/>
    <mergeCell ref="E1088:F1088"/>
    <mergeCell ref="G1088:H1088"/>
    <mergeCell ref="I1088:J1088"/>
    <mergeCell ref="E1089:F1089"/>
    <mergeCell ref="G1089:H1089"/>
    <mergeCell ref="I1089:J1089"/>
    <mergeCell ref="N1058:N1059"/>
    <mergeCell ref="K1075:M1075"/>
    <mergeCell ref="D1056:E1057"/>
    <mergeCell ref="F1056:L1056"/>
    <mergeCell ref="F1057:L1057"/>
    <mergeCell ref="J1058:K1058"/>
    <mergeCell ref="L1058:M1058"/>
    <mergeCell ref="D1069:J1069"/>
    <mergeCell ref="E1077:H1077"/>
    <mergeCell ref="K1077:M1077"/>
    <mergeCell ref="J625:M625"/>
    <mergeCell ref="D630:E631"/>
    <mergeCell ref="F630:L630"/>
    <mergeCell ref="F631:L631"/>
    <mergeCell ref="E620:F620"/>
    <mergeCell ref="G620:H620"/>
    <mergeCell ref="I620:J620"/>
    <mergeCell ref="E621:F621"/>
    <mergeCell ref="G621:H621"/>
    <mergeCell ref="I621:J621"/>
    <mergeCell ref="N591:N592"/>
    <mergeCell ref="D602:J602"/>
    <mergeCell ref="K608:M608"/>
    <mergeCell ref="E610:H610"/>
    <mergeCell ref="K610:M610"/>
    <mergeCell ref="J591:K591"/>
    <mergeCell ref="L591:M591"/>
    <mergeCell ref="M618:M619"/>
    <mergeCell ref="N618:N619"/>
    <mergeCell ref="E619:F619"/>
    <mergeCell ref="G619:H619"/>
    <mergeCell ref="D618:D619"/>
    <mergeCell ref="I618:J619"/>
    <mergeCell ref="K618:K619"/>
    <mergeCell ref="L618:L619"/>
    <mergeCell ref="E342:F342"/>
    <mergeCell ref="G342:H342"/>
    <mergeCell ref="I342:J342"/>
    <mergeCell ref="N339:N340"/>
    <mergeCell ref="E340:F340"/>
    <mergeCell ref="G340:H340"/>
    <mergeCell ref="D589:E590"/>
    <mergeCell ref="F589:L589"/>
    <mergeCell ref="F590:L590"/>
    <mergeCell ref="J346:M346"/>
    <mergeCell ref="J584:M584"/>
    <mergeCell ref="E579:F579"/>
    <mergeCell ref="G579:H579"/>
    <mergeCell ref="I579:J579"/>
    <mergeCell ref="E580:F580"/>
    <mergeCell ref="G580:H580"/>
    <mergeCell ref="I580:J580"/>
    <mergeCell ref="M577:M578"/>
    <mergeCell ref="J550:K550"/>
    <mergeCell ref="L550:M550"/>
    <mergeCell ref="M536:M537"/>
    <mergeCell ref="K422:M422"/>
    <mergeCell ref="K485:M485"/>
    <mergeCell ref="I437:J437"/>
    <mergeCell ref="D577:D578"/>
    <mergeCell ref="I577:J578"/>
    <mergeCell ref="K577:K578"/>
    <mergeCell ref="L577:L578"/>
    <mergeCell ref="N550:N551"/>
    <mergeCell ref="D561:J561"/>
    <mergeCell ref="N577:N578"/>
    <mergeCell ref="E578:F578"/>
    <mergeCell ref="G578:H578"/>
    <mergeCell ref="K567:M567"/>
    <mergeCell ref="E569:H569"/>
    <mergeCell ref="K569:M569"/>
    <mergeCell ref="E301:F301"/>
    <mergeCell ref="G301:H301"/>
    <mergeCell ref="I301:J301"/>
    <mergeCell ref="N468:N469"/>
    <mergeCell ref="D479:J479"/>
    <mergeCell ref="E302:F302"/>
    <mergeCell ref="G302:H302"/>
    <mergeCell ref="I302:J302"/>
    <mergeCell ref="J306:M306"/>
    <mergeCell ref="N405:N406"/>
    <mergeCell ref="D416:J416"/>
    <mergeCell ref="D311:E312"/>
    <mergeCell ref="F311:L311"/>
    <mergeCell ref="N313:N314"/>
    <mergeCell ref="D324:J324"/>
    <mergeCell ref="K330:M330"/>
    <mergeCell ref="E332:H332"/>
    <mergeCell ref="K332:M332"/>
    <mergeCell ref="D339:D340"/>
    <mergeCell ref="I339:J340"/>
    <mergeCell ref="K339:K340"/>
    <mergeCell ref="L339:L340"/>
    <mergeCell ref="G341:H341"/>
    <mergeCell ref="I341:J341"/>
    <mergeCell ref="D299:D300"/>
    <mergeCell ref="I299:J300"/>
    <mergeCell ref="K299:K300"/>
    <mergeCell ref="L299:L300"/>
    <mergeCell ref="N272:N273"/>
    <mergeCell ref="D283:J283"/>
    <mergeCell ref="K289:M289"/>
    <mergeCell ref="E291:H291"/>
    <mergeCell ref="K291:M291"/>
    <mergeCell ref="N299:N300"/>
    <mergeCell ref="E300:F300"/>
    <mergeCell ref="G300:H300"/>
    <mergeCell ref="E260:F260"/>
    <mergeCell ref="G260:H260"/>
    <mergeCell ref="I260:J260"/>
    <mergeCell ref="D270:E271"/>
    <mergeCell ref="F270:L270"/>
    <mergeCell ref="F271:L271"/>
    <mergeCell ref="J272:K272"/>
    <mergeCell ref="L272:M272"/>
    <mergeCell ref="E261:F261"/>
    <mergeCell ref="G261:H261"/>
    <mergeCell ref="I261:J261"/>
    <mergeCell ref="J265:M265"/>
    <mergeCell ref="L258:L259"/>
    <mergeCell ref="N231:N232"/>
    <mergeCell ref="D242:J242"/>
    <mergeCell ref="K248:M248"/>
    <mergeCell ref="E250:H250"/>
    <mergeCell ref="K250:M250"/>
    <mergeCell ref="N258:N259"/>
    <mergeCell ref="E259:F259"/>
    <mergeCell ref="G259:H259"/>
    <mergeCell ref="I118:J118"/>
    <mergeCell ref="G117:H117"/>
    <mergeCell ref="I219:J219"/>
    <mergeCell ref="N190:N191"/>
    <mergeCell ref="D201:J201"/>
    <mergeCell ref="J183:M183"/>
    <mergeCell ref="D188:E189"/>
    <mergeCell ref="F188:L188"/>
    <mergeCell ref="F189:L189"/>
    <mergeCell ref="J190:K190"/>
    <mergeCell ref="L190:M190"/>
    <mergeCell ref="N176:N177"/>
    <mergeCell ref="K136:M136"/>
    <mergeCell ref="L149:M149"/>
    <mergeCell ref="F147:L147"/>
    <mergeCell ref="F148:L148"/>
    <mergeCell ref="I139:L139"/>
    <mergeCell ref="I140:L140"/>
    <mergeCell ref="E177:F177"/>
    <mergeCell ref="D160:J160"/>
    <mergeCell ref="K166:M166"/>
    <mergeCell ref="L176:L177"/>
    <mergeCell ref="G177:H177"/>
    <mergeCell ref="N217:N218"/>
    <mergeCell ref="N72:N73"/>
    <mergeCell ref="E73:F73"/>
    <mergeCell ref="G73:H73"/>
    <mergeCell ref="E33:F33"/>
    <mergeCell ref="G33:H33"/>
    <mergeCell ref="J38:M38"/>
    <mergeCell ref="D43:E44"/>
    <mergeCell ref="F43:L43"/>
    <mergeCell ref="F44:L44"/>
    <mergeCell ref="G34:H34"/>
    <mergeCell ref="E34:F34"/>
    <mergeCell ref="M72:M73"/>
    <mergeCell ref="I72:J73"/>
    <mergeCell ref="K72:K73"/>
    <mergeCell ref="N45:N46"/>
    <mergeCell ref="D56:J56"/>
    <mergeCell ref="K62:M62"/>
    <mergeCell ref="E64:H64"/>
    <mergeCell ref="K64:M64"/>
    <mergeCell ref="I34:J34"/>
    <mergeCell ref="L45:M45"/>
    <mergeCell ref="D72:D73"/>
    <mergeCell ref="J45:K45"/>
    <mergeCell ref="L72:L73"/>
    <mergeCell ref="E424:H424"/>
    <mergeCell ref="K424:M424"/>
    <mergeCell ref="J468:K468"/>
    <mergeCell ref="L468:M468"/>
    <mergeCell ref="E435:F435"/>
    <mergeCell ref="D434:D435"/>
    <mergeCell ref="E496:F496"/>
    <mergeCell ref="G496:H496"/>
    <mergeCell ref="L495:L496"/>
    <mergeCell ref="G435:H435"/>
    <mergeCell ref="E436:F436"/>
    <mergeCell ref="G436:H436"/>
    <mergeCell ref="E437:F437"/>
    <mergeCell ref="G437:H437"/>
    <mergeCell ref="E439:F439"/>
    <mergeCell ref="G439:H439"/>
    <mergeCell ref="I439:J439"/>
    <mergeCell ref="K442:M442"/>
    <mergeCell ref="D447:J447"/>
    <mergeCell ref="M495:M496"/>
    <mergeCell ref="I436:J436"/>
    <mergeCell ref="I434:J435"/>
    <mergeCell ref="K434:K435"/>
    <mergeCell ref="L434:L435"/>
    <mergeCell ref="N495:N496"/>
    <mergeCell ref="E497:F497"/>
    <mergeCell ref="G497:H497"/>
    <mergeCell ref="I497:J497"/>
    <mergeCell ref="N509:N510"/>
    <mergeCell ref="E651:H651"/>
    <mergeCell ref="K651:M651"/>
    <mergeCell ref="E438:F438"/>
    <mergeCell ref="G438:H438"/>
    <mergeCell ref="I438:J438"/>
    <mergeCell ref="I495:J496"/>
    <mergeCell ref="K495:K496"/>
    <mergeCell ref="E487:H487"/>
    <mergeCell ref="K487:M487"/>
    <mergeCell ref="K526:M526"/>
    <mergeCell ref="E528:H528"/>
    <mergeCell ref="K528:M528"/>
    <mergeCell ref="F507:L507"/>
    <mergeCell ref="F508:L508"/>
    <mergeCell ref="J509:K509"/>
    <mergeCell ref="L509:M509"/>
    <mergeCell ref="N536:N537"/>
    <mergeCell ref="E537:F537"/>
    <mergeCell ref="G537:H537"/>
    <mergeCell ref="D495:D496"/>
    <mergeCell ref="D536:D537"/>
    <mergeCell ref="I536:J537"/>
    <mergeCell ref="K536:K537"/>
    <mergeCell ref="L536:L537"/>
    <mergeCell ref="D548:E549"/>
    <mergeCell ref="F548:L548"/>
    <mergeCell ref="F549:L549"/>
    <mergeCell ref="G538:H538"/>
    <mergeCell ref="I538:J538"/>
    <mergeCell ref="E539:F539"/>
    <mergeCell ref="E498:F498"/>
    <mergeCell ref="G498:H498"/>
    <mergeCell ref="I498:J498"/>
    <mergeCell ref="D520:J520"/>
    <mergeCell ref="J502:M502"/>
    <mergeCell ref="D507:E508"/>
    <mergeCell ref="E538:F538"/>
    <mergeCell ref="G539:H539"/>
    <mergeCell ref="I539:J539"/>
    <mergeCell ref="J543:M543"/>
    <mergeCell ref="D684:J684"/>
    <mergeCell ref="K690:M690"/>
    <mergeCell ref="D659:D660"/>
    <mergeCell ref="N659:N660"/>
    <mergeCell ref="J666:M666"/>
    <mergeCell ref="E660:F660"/>
    <mergeCell ref="G660:H660"/>
    <mergeCell ref="J673:K673"/>
    <mergeCell ref="D671:E672"/>
    <mergeCell ref="K659:K660"/>
    <mergeCell ref="L659:L660"/>
    <mergeCell ref="M659:M660"/>
    <mergeCell ref="E662:F662"/>
    <mergeCell ref="G662:H662"/>
    <mergeCell ref="I662:J662"/>
    <mergeCell ref="L673:M673"/>
    <mergeCell ref="N673:N674"/>
    <mergeCell ref="F671:L671"/>
    <mergeCell ref="F672:L672"/>
    <mergeCell ref="E702:F702"/>
    <mergeCell ref="G702:H702"/>
    <mergeCell ref="I702:J702"/>
    <mergeCell ref="K700:K701"/>
    <mergeCell ref="E703:F703"/>
    <mergeCell ref="G703:H703"/>
    <mergeCell ref="I703:J703"/>
    <mergeCell ref="E692:H692"/>
    <mergeCell ref="I700:J701"/>
    <mergeCell ref="E701:F701"/>
    <mergeCell ref="G701:H701"/>
    <mergeCell ref="K692:M692"/>
    <mergeCell ref="L700:L701"/>
    <mergeCell ref="M700:M701"/>
    <mergeCell ref="D700:D701"/>
    <mergeCell ref="N742:N743"/>
    <mergeCell ref="E744:F744"/>
    <mergeCell ref="G744:H744"/>
    <mergeCell ref="I744:J744"/>
    <mergeCell ref="M742:M743"/>
    <mergeCell ref="N714:N715"/>
    <mergeCell ref="D725:J725"/>
    <mergeCell ref="K732:M732"/>
    <mergeCell ref="E734:H734"/>
    <mergeCell ref="K734:M734"/>
    <mergeCell ref="D742:D743"/>
    <mergeCell ref="I742:J743"/>
    <mergeCell ref="K742:K743"/>
    <mergeCell ref="L742:L743"/>
    <mergeCell ref="E743:F743"/>
    <mergeCell ref="G743:H743"/>
    <mergeCell ref="J714:K714"/>
    <mergeCell ref="L714:M714"/>
    <mergeCell ref="J707:M707"/>
    <mergeCell ref="D712:E713"/>
    <mergeCell ref="F712:L712"/>
    <mergeCell ref="F713:L713"/>
    <mergeCell ref="N700:N701"/>
    <mergeCell ref="N756:N757"/>
    <mergeCell ref="D767:J767"/>
    <mergeCell ref="K774:M774"/>
    <mergeCell ref="E776:H776"/>
    <mergeCell ref="K776:M776"/>
    <mergeCell ref="E745:F745"/>
    <mergeCell ref="G745:H745"/>
    <mergeCell ref="I745:J745"/>
    <mergeCell ref="J749:M749"/>
    <mergeCell ref="D754:E755"/>
    <mergeCell ref="F754:L754"/>
    <mergeCell ref="F755:L755"/>
    <mergeCell ref="D784:D785"/>
    <mergeCell ref="I784:J785"/>
    <mergeCell ref="J791:M791"/>
    <mergeCell ref="D796:E797"/>
    <mergeCell ref="F796:L796"/>
    <mergeCell ref="F797:L797"/>
    <mergeCell ref="J756:K756"/>
    <mergeCell ref="L756:M756"/>
    <mergeCell ref="E787:F787"/>
    <mergeCell ref="G787:H787"/>
    <mergeCell ref="I787:J787"/>
    <mergeCell ref="G824:H824"/>
    <mergeCell ref="N784:N785"/>
    <mergeCell ref="E786:F786"/>
    <mergeCell ref="G786:H786"/>
    <mergeCell ref="I786:J786"/>
    <mergeCell ref="K784:K785"/>
    <mergeCell ref="L784:L785"/>
    <mergeCell ref="E785:F785"/>
    <mergeCell ref="G785:H785"/>
    <mergeCell ref="M784:M785"/>
    <mergeCell ref="K815:M815"/>
    <mergeCell ref="E864:F864"/>
    <mergeCell ref="G864:H864"/>
    <mergeCell ref="J632:K632"/>
    <mergeCell ref="L632:M632"/>
    <mergeCell ref="M863:M864"/>
    <mergeCell ref="J831:M831"/>
    <mergeCell ref="D836:E837"/>
    <mergeCell ref="F836:L836"/>
    <mergeCell ref="F837:L837"/>
    <mergeCell ref="J838:K838"/>
    <mergeCell ref="L838:M838"/>
    <mergeCell ref="D863:D864"/>
    <mergeCell ref="I863:J864"/>
    <mergeCell ref="K863:K864"/>
    <mergeCell ref="J798:K798"/>
    <mergeCell ref="L798:M798"/>
    <mergeCell ref="E826:F826"/>
    <mergeCell ref="G826:H826"/>
    <mergeCell ref="I826:J826"/>
    <mergeCell ref="D823:D824"/>
    <mergeCell ref="I823:J824"/>
    <mergeCell ref="K823:K824"/>
    <mergeCell ref="L823:L824"/>
    <mergeCell ref="E824:F824"/>
    <mergeCell ref="G867:H867"/>
    <mergeCell ref="N863:N864"/>
    <mergeCell ref="I459:L459"/>
    <mergeCell ref="K649:M649"/>
    <mergeCell ref="N838:N839"/>
    <mergeCell ref="D847:J847"/>
    <mergeCell ref="K853:M853"/>
    <mergeCell ref="E855:H855"/>
    <mergeCell ref="K855:M855"/>
    <mergeCell ref="N632:N633"/>
    <mergeCell ref="D643:J643"/>
    <mergeCell ref="L863:L864"/>
    <mergeCell ref="E827:F827"/>
    <mergeCell ref="G827:H827"/>
    <mergeCell ref="I827:J827"/>
    <mergeCell ref="N823:N824"/>
    <mergeCell ref="E825:F825"/>
    <mergeCell ref="G825:H825"/>
    <mergeCell ref="I825:J825"/>
    <mergeCell ref="M823:M824"/>
    <mergeCell ref="N798:N799"/>
    <mergeCell ref="D807:J807"/>
    <mergeCell ref="K813:M813"/>
    <mergeCell ref="E815:H815"/>
    <mergeCell ref="D924:E925"/>
    <mergeCell ref="F924:L924"/>
    <mergeCell ref="F925:L925"/>
    <mergeCell ref="F876:L876"/>
    <mergeCell ref="F877:L877"/>
    <mergeCell ref="E913:F913"/>
    <mergeCell ref="E915:F915"/>
    <mergeCell ref="G915:H915"/>
    <mergeCell ref="N912:N913"/>
    <mergeCell ref="E914:F914"/>
    <mergeCell ref="G914:H914"/>
    <mergeCell ref="I914:J914"/>
    <mergeCell ref="I912:J913"/>
    <mergeCell ref="K912:K913"/>
    <mergeCell ref="L912:L913"/>
    <mergeCell ref="N878:N879"/>
    <mergeCell ref="D889:J889"/>
    <mergeCell ref="K896:M896"/>
    <mergeCell ref="E898:H898"/>
    <mergeCell ref="K898:M898"/>
    <mergeCell ref="J878:K878"/>
    <mergeCell ref="L878:M878"/>
    <mergeCell ref="K455:M455"/>
    <mergeCell ref="E661:F661"/>
    <mergeCell ref="G661:H661"/>
    <mergeCell ref="I661:J661"/>
    <mergeCell ref="I659:J660"/>
    <mergeCell ref="D876:E877"/>
    <mergeCell ref="D912:D913"/>
    <mergeCell ref="G913:H913"/>
    <mergeCell ref="J919:M919"/>
    <mergeCell ref="M912:M913"/>
    <mergeCell ref="I915:J915"/>
    <mergeCell ref="D466:E467"/>
    <mergeCell ref="F466:L466"/>
    <mergeCell ref="F467:L467"/>
    <mergeCell ref="I458:L458"/>
    <mergeCell ref="I867:J867"/>
    <mergeCell ref="J871:M871"/>
    <mergeCell ref="E865:F865"/>
    <mergeCell ref="G865:H865"/>
    <mergeCell ref="I865:J865"/>
    <mergeCell ref="E866:F866"/>
    <mergeCell ref="G866:H866"/>
    <mergeCell ref="I866:J866"/>
    <mergeCell ref="E867:F867"/>
    <mergeCell ref="E966:F966"/>
    <mergeCell ref="G966:H966"/>
    <mergeCell ref="I966:J966"/>
    <mergeCell ref="J970:M970"/>
    <mergeCell ref="D976:E977"/>
    <mergeCell ref="F976:L976"/>
    <mergeCell ref="N926:N927"/>
    <mergeCell ref="D937:J937"/>
    <mergeCell ref="K944:M944"/>
    <mergeCell ref="E946:H946"/>
    <mergeCell ref="K946:M946"/>
    <mergeCell ref="J926:K926"/>
    <mergeCell ref="L926:M926"/>
    <mergeCell ref="E965:F965"/>
    <mergeCell ref="G965:H965"/>
    <mergeCell ref="I965:J965"/>
    <mergeCell ref="M963:M964"/>
    <mergeCell ref="L963:L964"/>
    <mergeCell ref="E964:F964"/>
    <mergeCell ref="G964:H964"/>
    <mergeCell ref="N963:N964"/>
    <mergeCell ref="D963:D964"/>
    <mergeCell ref="I963:J964"/>
    <mergeCell ref="K963:K964"/>
    <mergeCell ref="N978:N979"/>
    <mergeCell ref="D987:J987"/>
    <mergeCell ref="K993:M993"/>
    <mergeCell ref="E995:H995"/>
    <mergeCell ref="K995:M995"/>
    <mergeCell ref="N1002:N1003"/>
    <mergeCell ref="F977:L977"/>
    <mergeCell ref="J978:K978"/>
    <mergeCell ref="L978:M978"/>
    <mergeCell ref="D1016:E1017"/>
    <mergeCell ref="F1016:L1016"/>
    <mergeCell ref="F1017:L1017"/>
    <mergeCell ref="D1002:D1003"/>
    <mergeCell ref="E1006:F1006"/>
    <mergeCell ref="G1006:H1006"/>
    <mergeCell ref="E1005:F1005"/>
    <mergeCell ref="G1005:H1005"/>
    <mergeCell ref="I1005:J1005"/>
    <mergeCell ref="I1006:J1006"/>
    <mergeCell ref="E1004:F1004"/>
    <mergeCell ref="G1004:H1004"/>
    <mergeCell ref="I1004:J1004"/>
    <mergeCell ref="I1002:J1003"/>
    <mergeCell ref="K1002:K1003"/>
    <mergeCell ref="L1002:L1003"/>
    <mergeCell ref="E1003:F1003"/>
    <mergeCell ref="G1003:H1003"/>
    <mergeCell ref="J1010:M1010"/>
    <mergeCell ref="M1002:M1003"/>
    <mergeCell ref="I117:J117"/>
    <mergeCell ref="E117:F117"/>
    <mergeCell ref="G116:H116"/>
    <mergeCell ref="I115:J116"/>
    <mergeCell ref="J79:M79"/>
    <mergeCell ref="F86:L86"/>
    <mergeCell ref="F85:L85"/>
    <mergeCell ref="E75:F75"/>
    <mergeCell ref="I397:L397"/>
    <mergeCell ref="K209:M209"/>
    <mergeCell ref="I217:J218"/>
    <mergeCell ref="K217:K218"/>
    <mergeCell ref="L217:L218"/>
    <mergeCell ref="M217:M218"/>
    <mergeCell ref="I220:J220"/>
    <mergeCell ref="I178:J178"/>
    <mergeCell ref="F312:L312"/>
    <mergeCell ref="J313:K313"/>
    <mergeCell ref="L313:M313"/>
    <mergeCell ref="M339:M340"/>
    <mergeCell ref="E341:F341"/>
    <mergeCell ref="G220:H220"/>
    <mergeCell ref="J224:M224"/>
    <mergeCell ref="G118:H118"/>
    <mergeCell ref="F2:L2"/>
    <mergeCell ref="K21:M21"/>
    <mergeCell ref="E23:H23"/>
    <mergeCell ref="K23:M23"/>
    <mergeCell ref="F3:L3"/>
    <mergeCell ref="D2:E3"/>
    <mergeCell ref="D31:D32"/>
    <mergeCell ref="I31:J32"/>
    <mergeCell ref="I33:J33"/>
    <mergeCell ref="D405:H405"/>
    <mergeCell ref="E178:F178"/>
    <mergeCell ref="G178:H178"/>
    <mergeCell ref="J405:K405"/>
    <mergeCell ref="E209:H209"/>
    <mergeCell ref="D217:D218"/>
    <mergeCell ref="E220:F220"/>
    <mergeCell ref="D377:D378"/>
    <mergeCell ref="M176:M177"/>
    <mergeCell ref="E179:F179"/>
    <mergeCell ref="G179:H179"/>
    <mergeCell ref="I179:J179"/>
    <mergeCell ref="D229:E230"/>
    <mergeCell ref="F229:L229"/>
    <mergeCell ref="F230:L230"/>
    <mergeCell ref="J231:K231"/>
    <mergeCell ref="L231:M231"/>
    <mergeCell ref="E218:F218"/>
    <mergeCell ref="G218:H218"/>
    <mergeCell ref="E219:F219"/>
    <mergeCell ref="G219:H219"/>
    <mergeCell ref="D258:D259"/>
    <mergeCell ref="I258:J259"/>
    <mergeCell ref="K258:K259"/>
    <mergeCell ref="N4:N5"/>
    <mergeCell ref="L4:M4"/>
    <mergeCell ref="D15:J15"/>
    <mergeCell ref="J4:K4"/>
    <mergeCell ref="N31:N32"/>
    <mergeCell ref="E32:F32"/>
    <mergeCell ref="G32:H32"/>
    <mergeCell ref="K31:K32"/>
    <mergeCell ref="L31:L32"/>
    <mergeCell ref="M31:M32"/>
    <mergeCell ref="E74:F74"/>
    <mergeCell ref="G74:H74"/>
    <mergeCell ref="I74:J74"/>
    <mergeCell ref="G75:H75"/>
    <mergeCell ref="I75:J75"/>
    <mergeCell ref="D85:E86"/>
    <mergeCell ref="N1043:N1044"/>
    <mergeCell ref="E1045:F1045"/>
    <mergeCell ref="G1045:H1045"/>
    <mergeCell ref="I1045:J1045"/>
    <mergeCell ref="M1043:M1044"/>
    <mergeCell ref="J1018:K1018"/>
    <mergeCell ref="L1018:M1018"/>
    <mergeCell ref="K1033:M1033"/>
    <mergeCell ref="E1035:H1035"/>
    <mergeCell ref="K1035:M1035"/>
    <mergeCell ref="I1043:J1044"/>
    <mergeCell ref="K1043:K1044"/>
    <mergeCell ref="L1043:L1044"/>
    <mergeCell ref="E1044:F1044"/>
    <mergeCell ref="G1044:H1044"/>
    <mergeCell ref="N1018:N1019"/>
    <mergeCell ref="D1027:J1027"/>
    <mergeCell ref="D351:E352"/>
    <mergeCell ref="D115:D116"/>
    <mergeCell ref="D176:D177"/>
    <mergeCell ref="J1051:M1051"/>
    <mergeCell ref="F351:L351"/>
    <mergeCell ref="F352:L352"/>
    <mergeCell ref="J353:K353"/>
    <mergeCell ref="K368:M368"/>
    <mergeCell ref="M377:M378"/>
    <mergeCell ref="K370:M370"/>
    <mergeCell ref="L377:L378"/>
    <mergeCell ref="K395:M395"/>
    <mergeCell ref="E380:F380"/>
    <mergeCell ref="E1047:F1047"/>
    <mergeCell ref="G1047:H1047"/>
    <mergeCell ref="I1047:J1047"/>
    <mergeCell ref="E1046:F1046"/>
    <mergeCell ref="G1046:H1046"/>
    <mergeCell ref="I1046:J1046"/>
    <mergeCell ref="D1043:D1044"/>
    <mergeCell ref="E119:F119"/>
    <mergeCell ref="L405:M405"/>
    <mergeCell ref="I176:J177"/>
    <mergeCell ref="M434:M435"/>
    <mergeCell ref="D387:J387"/>
    <mergeCell ref="N87:N88"/>
    <mergeCell ref="L87:M87"/>
    <mergeCell ref="K123:M123"/>
    <mergeCell ref="N149:N150"/>
    <mergeCell ref="L115:L116"/>
    <mergeCell ref="M115:M116"/>
    <mergeCell ref="N115:N116"/>
    <mergeCell ref="J149:K149"/>
    <mergeCell ref="K103:M103"/>
    <mergeCell ref="J87:K87"/>
    <mergeCell ref="D97:J97"/>
    <mergeCell ref="G119:H119"/>
    <mergeCell ref="I119:J119"/>
    <mergeCell ref="E120:F120"/>
    <mergeCell ref="G120:H120"/>
    <mergeCell ref="I120:J120"/>
    <mergeCell ref="D87:H87"/>
    <mergeCell ref="E105:H105"/>
    <mergeCell ref="K105:M105"/>
    <mergeCell ref="D128:J128"/>
    <mergeCell ref="D147:E148"/>
    <mergeCell ref="K115:K116"/>
    <mergeCell ref="E116:F116"/>
    <mergeCell ref="E118:F118"/>
    <mergeCell ref="N434:N435"/>
    <mergeCell ref="K168:M168"/>
    <mergeCell ref="K176:K177"/>
    <mergeCell ref="E168:H168"/>
    <mergeCell ref="N353:N354"/>
    <mergeCell ref="L353:M353"/>
    <mergeCell ref="G379:H379"/>
    <mergeCell ref="E370:H370"/>
    <mergeCell ref="I377:J378"/>
    <mergeCell ref="K377:K378"/>
    <mergeCell ref="N377:N378"/>
    <mergeCell ref="I379:J379"/>
    <mergeCell ref="G378:H378"/>
    <mergeCell ref="E378:F378"/>
    <mergeCell ref="E379:F379"/>
    <mergeCell ref="D403:E404"/>
    <mergeCell ref="F403:L403"/>
    <mergeCell ref="F404:L404"/>
    <mergeCell ref="G380:H380"/>
    <mergeCell ref="I380:J380"/>
    <mergeCell ref="K383:M383"/>
    <mergeCell ref="K207:M207"/>
    <mergeCell ref="M258:M259"/>
    <mergeCell ref="M299:M300"/>
    <mergeCell ref="D1178:D1179"/>
    <mergeCell ref="I1178:J1179"/>
    <mergeCell ref="K1178:K1179"/>
    <mergeCell ref="L1178:L1179"/>
    <mergeCell ref="M1178:M1179"/>
    <mergeCell ref="N1178:N1179"/>
    <mergeCell ref="E1179:F1179"/>
    <mergeCell ref="G1179:H1179"/>
    <mergeCell ref="J1151:K1151"/>
    <mergeCell ref="L1151:M1151"/>
    <mergeCell ref="N1151:N1152"/>
    <mergeCell ref="D1162:J1162"/>
    <mergeCell ref="K1168:M1168"/>
    <mergeCell ref="E1170:H1170"/>
    <mergeCell ref="K1170:M1170"/>
    <mergeCell ref="J1185:M1185"/>
    <mergeCell ref="D1190:E1191"/>
    <mergeCell ref="F1190:L1190"/>
    <mergeCell ref="F1191:L1191"/>
    <mergeCell ref="J1192:K1192"/>
    <mergeCell ref="L1192:M1192"/>
    <mergeCell ref="E1180:F1180"/>
    <mergeCell ref="G1180:H1180"/>
    <mergeCell ref="I1180:J1180"/>
    <mergeCell ref="E1181:F1181"/>
    <mergeCell ref="G1181:H1181"/>
    <mergeCell ref="I1181:J1181"/>
    <mergeCell ref="N1192:N1193"/>
    <mergeCell ref="D1203:J1203"/>
    <mergeCell ref="K1209:M1209"/>
    <mergeCell ref="E1211:H1211"/>
    <mergeCell ref="K1211:M1211"/>
    <mergeCell ref="D1219:D1220"/>
    <mergeCell ref="I1219:J1220"/>
    <mergeCell ref="K1219:K1220"/>
    <mergeCell ref="L1219:L1220"/>
    <mergeCell ref="M1219:M1220"/>
    <mergeCell ref="E1222:F1222"/>
    <mergeCell ref="G1222:H1222"/>
    <mergeCell ref="I1222:J1222"/>
    <mergeCell ref="J1226:M1226"/>
    <mergeCell ref="D1231:E1232"/>
    <mergeCell ref="F1231:L1231"/>
    <mergeCell ref="F1232:L1232"/>
    <mergeCell ref="N1219:N1220"/>
    <mergeCell ref="E1220:F1220"/>
    <mergeCell ref="G1220:H1220"/>
    <mergeCell ref="E1221:F1221"/>
    <mergeCell ref="G1221:H1221"/>
    <mergeCell ref="I1221:J1221"/>
    <mergeCell ref="N1262:N1263"/>
    <mergeCell ref="E1263:F1263"/>
    <mergeCell ref="G1263:H1263"/>
    <mergeCell ref="J1233:K1233"/>
    <mergeCell ref="L1233:M1233"/>
    <mergeCell ref="N1233:N1234"/>
    <mergeCell ref="D1244:J1244"/>
    <mergeCell ref="K1250:M1250"/>
    <mergeCell ref="E1252:H1252"/>
    <mergeCell ref="K1252:M1252"/>
    <mergeCell ref="J1270:M1270"/>
    <mergeCell ref="E1266:F1266"/>
    <mergeCell ref="G1266:H1266"/>
    <mergeCell ref="I1266:J1266"/>
    <mergeCell ref="E1264:F1264"/>
    <mergeCell ref="G1264:H1264"/>
    <mergeCell ref="I1264:J1264"/>
    <mergeCell ref="D1262:D1263"/>
    <mergeCell ref="I1262:J1263"/>
    <mergeCell ref="K1262:K1263"/>
    <mergeCell ref="L1262:L1263"/>
    <mergeCell ref="M1262:M1263"/>
  </mergeCells>
  <phoneticPr fontId="0" type="noConversion"/>
  <printOptions horizontalCentered="1"/>
  <pageMargins left="0.39370078740157483" right="0.31496062992125984" top="0.34" bottom="0.23" header="0.15" footer="0.25"/>
  <pageSetup paperSize="9" scale="50" orientation="portrait" horizontalDpi="300" verticalDpi="300" r:id="rId1"/>
  <headerFooter alignWithMargins="0"/>
  <rowBreaks count="28" manualBreakCount="28">
    <brk id="41" min="3" max="13" man="1"/>
    <brk id="82" min="3" max="13" man="1"/>
    <brk id="145" min="3" max="13" man="1"/>
    <brk id="186" min="3" max="13" man="1"/>
    <brk id="227" min="3" max="13" man="1"/>
    <brk id="268" min="3" max="13" man="1"/>
    <brk id="309" min="3" max="13" man="1"/>
    <brk id="349" min="3" max="13" man="1"/>
    <brk id="401" min="3" max="13" man="1"/>
    <brk id="464" min="3" max="13" man="1"/>
    <brk id="505" min="3" max="13" man="1"/>
    <brk id="546" min="3" max="13" man="1"/>
    <brk id="587" min="3" max="13" man="1"/>
    <brk id="628" min="3" max="13" man="1"/>
    <brk id="669" min="3" max="13" man="1"/>
    <brk id="710" min="3" max="13" man="1"/>
    <brk id="752" min="3" max="13" man="1"/>
    <brk id="794" min="3" max="13" man="1"/>
    <brk id="834" min="3" max="13" man="1"/>
    <brk id="874" min="3" max="13" man="1"/>
    <brk id="922" min="3" max="13" man="1"/>
    <brk id="974" min="3" max="13" man="1"/>
    <brk id="1014" min="3" max="13" man="1"/>
    <brk id="1054" min="3" max="13" man="1"/>
    <brk id="1095" min="3" max="13" man="1"/>
    <brk id="1147" min="3" max="13" man="1"/>
    <brk id="1188" min="3" max="13" man="1"/>
    <brk id="1229" min="3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B3:J68"/>
  <sheetViews>
    <sheetView tabSelected="1" view="pageBreakPreview" topLeftCell="A31" zoomScaleNormal="100" workbookViewId="0">
      <selection activeCell="C65" activeCellId="1" sqref="C64 C65"/>
    </sheetView>
  </sheetViews>
  <sheetFormatPr defaultRowHeight="15" customHeight="1"/>
  <cols>
    <col min="1" max="1" width="1.7109375" style="251" customWidth="1"/>
    <col min="2" max="2" width="10.85546875" style="252" bestFit="1" customWidth="1"/>
    <col min="3" max="3" width="1.7109375" style="461" customWidth="1"/>
    <col min="4" max="5" width="15.7109375" style="251" customWidth="1"/>
    <col min="6" max="6" width="28.85546875" style="251" customWidth="1"/>
    <col min="7" max="7" width="13.28515625" style="251" customWidth="1"/>
    <col min="8" max="9" width="11.85546875" style="251" customWidth="1"/>
    <col min="10" max="10" width="8.5703125" style="324" customWidth="1"/>
    <col min="11" max="16384" width="9.140625" style="251"/>
  </cols>
  <sheetData>
    <row r="3" spans="2:10" ht="35.1" customHeight="1">
      <c r="B3" s="250"/>
      <c r="D3" s="605" t="s">
        <v>627</v>
      </c>
      <c r="E3" s="605"/>
      <c r="F3" s="605"/>
      <c r="G3" s="605"/>
      <c r="H3" s="605"/>
      <c r="I3" s="464"/>
      <c r="J3" s="462"/>
    </row>
    <row r="4" spans="2:10" ht="15" customHeight="1">
      <c r="B4" s="606" t="s">
        <v>243</v>
      </c>
      <c r="C4" s="470"/>
      <c r="D4" s="603" t="s">
        <v>252</v>
      </c>
      <c r="E4" s="603"/>
      <c r="F4" s="603"/>
      <c r="G4" s="471" t="s">
        <v>81</v>
      </c>
      <c r="H4" s="471"/>
      <c r="I4" s="463"/>
      <c r="J4" s="462"/>
    </row>
    <row r="5" spans="2:10" ht="15" customHeight="1">
      <c r="B5" s="607"/>
      <c r="C5" s="470"/>
      <c r="D5" s="603"/>
      <c r="E5" s="603"/>
      <c r="F5" s="603"/>
      <c r="G5" s="472" t="s">
        <v>253</v>
      </c>
      <c r="H5" s="472" t="s">
        <v>254</v>
      </c>
      <c r="I5" s="454"/>
      <c r="J5" s="462"/>
    </row>
    <row r="6" spans="2:10" ht="15" customHeight="1">
      <c r="B6" s="608"/>
      <c r="C6" s="470"/>
      <c r="D6" s="604"/>
      <c r="E6" s="604"/>
      <c r="F6" s="604"/>
      <c r="G6" s="472" t="s">
        <v>255</v>
      </c>
      <c r="H6" s="472" t="s">
        <v>256</v>
      </c>
      <c r="I6" s="454"/>
      <c r="J6" s="462"/>
    </row>
    <row r="7" spans="2:10" ht="15" customHeight="1">
      <c r="B7" s="249" t="s">
        <v>257</v>
      </c>
      <c r="D7" s="467" t="s">
        <v>170</v>
      </c>
      <c r="E7" s="468"/>
      <c r="F7" s="469"/>
      <c r="G7" s="466">
        <v>26.331</v>
      </c>
      <c r="H7" s="465">
        <v>0</v>
      </c>
      <c r="I7" s="462"/>
      <c r="J7" s="461" t="s">
        <v>572</v>
      </c>
    </row>
    <row r="8" spans="2:10" ht="15" customHeight="1">
      <c r="B8" s="249" t="s">
        <v>259</v>
      </c>
      <c r="D8" s="467" t="s">
        <v>440</v>
      </c>
      <c r="E8" s="468"/>
      <c r="F8" s="469"/>
      <c r="G8" s="466">
        <v>101.47</v>
      </c>
      <c r="H8" s="465">
        <v>20.47</v>
      </c>
      <c r="I8" s="462"/>
      <c r="J8" s="461" t="s">
        <v>573</v>
      </c>
    </row>
    <row r="9" spans="2:10" ht="15" customHeight="1">
      <c r="B9" s="249" t="s">
        <v>260</v>
      </c>
      <c r="D9" s="467" t="s">
        <v>171</v>
      </c>
      <c r="E9" s="468"/>
      <c r="F9" s="469"/>
      <c r="G9" s="466">
        <v>93.9</v>
      </c>
      <c r="H9" s="465">
        <v>20.47</v>
      </c>
      <c r="I9" s="462"/>
      <c r="J9" s="461" t="s">
        <v>574</v>
      </c>
    </row>
    <row r="10" spans="2:10" ht="15" customHeight="1">
      <c r="B10" s="249" t="s">
        <v>261</v>
      </c>
      <c r="D10" s="467" t="s">
        <v>87</v>
      </c>
      <c r="E10" s="468"/>
      <c r="F10" s="469"/>
      <c r="G10" s="466">
        <v>108.89</v>
      </c>
      <c r="H10" s="465">
        <v>20.47</v>
      </c>
      <c r="I10" s="462"/>
      <c r="J10" s="461" t="s">
        <v>575</v>
      </c>
    </row>
    <row r="11" spans="2:10" ht="15" customHeight="1">
      <c r="B11" s="249" t="s">
        <v>262</v>
      </c>
      <c r="D11" s="467" t="s">
        <v>120</v>
      </c>
      <c r="E11" s="468"/>
      <c r="F11" s="469"/>
      <c r="G11" s="466">
        <v>135.83000000000001</v>
      </c>
      <c r="H11" s="465">
        <v>20.47</v>
      </c>
      <c r="I11" s="462"/>
      <c r="J11" s="461" t="s">
        <v>576</v>
      </c>
    </row>
    <row r="12" spans="2:10" ht="15" customHeight="1">
      <c r="B12" s="249" t="s">
        <v>263</v>
      </c>
      <c r="D12" s="467" t="s">
        <v>163</v>
      </c>
      <c r="E12" s="468"/>
      <c r="F12" s="469"/>
      <c r="G12" s="466">
        <v>123.34643018381168</v>
      </c>
      <c r="H12" s="465">
        <v>20.47</v>
      </c>
      <c r="I12" s="462"/>
      <c r="J12" s="461"/>
    </row>
    <row r="13" spans="2:10" ht="15" customHeight="1">
      <c r="B13" s="249" t="s">
        <v>264</v>
      </c>
      <c r="D13" s="467" t="s">
        <v>177</v>
      </c>
      <c r="E13" s="468"/>
      <c r="F13" s="469"/>
      <c r="G13" s="466">
        <v>269.47000000000003</v>
      </c>
      <c r="H13" s="465">
        <v>21.75</v>
      </c>
      <c r="I13" s="462"/>
      <c r="J13" s="461" t="s">
        <v>577</v>
      </c>
    </row>
    <row r="14" spans="2:10" ht="15" customHeight="1">
      <c r="B14" s="249" t="s">
        <v>265</v>
      </c>
      <c r="D14" s="467" t="s">
        <v>160</v>
      </c>
      <c r="E14" s="468"/>
      <c r="F14" s="469"/>
      <c r="G14" s="466">
        <v>126.87</v>
      </c>
      <c r="H14" s="465">
        <v>20.47</v>
      </c>
      <c r="I14" s="462"/>
      <c r="J14" s="461" t="s">
        <v>578</v>
      </c>
    </row>
    <row r="15" spans="2:10" ht="15" customHeight="1">
      <c r="B15" s="249" t="s">
        <v>266</v>
      </c>
      <c r="D15" s="467" t="s">
        <v>88</v>
      </c>
      <c r="E15" s="468"/>
      <c r="F15" s="469"/>
      <c r="G15" s="466">
        <v>86.35</v>
      </c>
      <c r="H15" s="465">
        <v>20.47</v>
      </c>
      <c r="I15" s="462"/>
      <c r="J15" s="461" t="s">
        <v>579</v>
      </c>
    </row>
    <row r="16" spans="2:10" ht="15" customHeight="1">
      <c r="B16" s="249" t="s">
        <v>267</v>
      </c>
      <c r="D16" s="467" t="s">
        <v>86</v>
      </c>
      <c r="E16" s="468"/>
      <c r="F16" s="469"/>
      <c r="G16" s="466">
        <v>54.1</v>
      </c>
      <c r="H16" s="465">
        <v>22.39</v>
      </c>
      <c r="I16" s="462"/>
      <c r="J16" s="461" t="s">
        <v>581</v>
      </c>
    </row>
    <row r="17" spans="2:10" ht="15" customHeight="1">
      <c r="B17" s="249" t="s">
        <v>268</v>
      </c>
      <c r="D17" s="467" t="s">
        <v>166</v>
      </c>
      <c r="E17" s="468"/>
      <c r="F17" s="469"/>
      <c r="G17" s="466">
        <v>90.018789144050103</v>
      </c>
      <c r="H17" s="465">
        <v>22.39</v>
      </c>
      <c r="I17" s="462"/>
      <c r="J17" s="461"/>
    </row>
    <row r="18" spans="2:10" ht="15" customHeight="1">
      <c r="B18" s="249" t="s">
        <v>269</v>
      </c>
      <c r="D18" s="467" t="s">
        <v>221</v>
      </c>
      <c r="E18" s="468"/>
      <c r="F18" s="469"/>
      <c r="G18" s="466">
        <v>108</v>
      </c>
      <c r="H18" s="465">
        <v>22.39</v>
      </c>
      <c r="I18" s="462"/>
      <c r="J18" s="461" t="s">
        <v>580</v>
      </c>
    </row>
    <row r="19" spans="2:10" ht="15" customHeight="1">
      <c r="B19" s="249" t="s">
        <v>270</v>
      </c>
      <c r="D19" s="467" t="s">
        <v>142</v>
      </c>
      <c r="E19" s="468"/>
      <c r="F19" s="469"/>
      <c r="G19" s="466">
        <v>17.11</v>
      </c>
      <c r="H19" s="465">
        <v>15.33</v>
      </c>
      <c r="I19" s="462"/>
      <c r="J19" s="461" t="s">
        <v>582</v>
      </c>
    </row>
    <row r="20" spans="2:10" ht="15" customHeight="1">
      <c r="B20" s="249" t="s">
        <v>271</v>
      </c>
      <c r="D20" s="467" t="s">
        <v>141</v>
      </c>
      <c r="E20" s="468"/>
      <c r="F20" s="469"/>
      <c r="G20" s="466">
        <v>17.47</v>
      </c>
      <c r="H20" s="465">
        <v>15.355</v>
      </c>
      <c r="I20" s="462"/>
      <c r="J20" s="461" t="s">
        <v>583</v>
      </c>
    </row>
    <row r="21" spans="2:10" ht="15" customHeight="1">
      <c r="B21" s="249" t="s">
        <v>272</v>
      </c>
      <c r="D21" s="467" t="s">
        <v>139</v>
      </c>
      <c r="E21" s="468"/>
      <c r="F21" s="469"/>
      <c r="G21" s="466">
        <v>50.66</v>
      </c>
      <c r="H21" s="465">
        <v>17.27</v>
      </c>
      <c r="I21" s="462"/>
      <c r="J21" s="461" t="s">
        <v>584</v>
      </c>
    </row>
    <row r="22" spans="2:10" ht="15" customHeight="1">
      <c r="B22" s="249" t="s">
        <v>273</v>
      </c>
      <c r="D22" s="467" t="s">
        <v>258</v>
      </c>
      <c r="E22" s="468"/>
      <c r="F22" s="469"/>
      <c r="G22" s="466">
        <v>132.79</v>
      </c>
      <c r="H22" s="465">
        <v>22.39</v>
      </c>
      <c r="I22" s="462"/>
      <c r="J22" s="461" t="s">
        <v>585</v>
      </c>
    </row>
    <row r="23" spans="2:10" ht="15" customHeight="1">
      <c r="B23" s="249" t="s">
        <v>274</v>
      </c>
      <c r="D23" s="467" t="s">
        <v>168</v>
      </c>
      <c r="E23" s="468"/>
      <c r="F23" s="469"/>
      <c r="G23" s="466">
        <v>3.26</v>
      </c>
      <c r="H23" s="465">
        <v>0</v>
      </c>
      <c r="I23" s="462"/>
      <c r="J23" s="461" t="s">
        <v>586</v>
      </c>
    </row>
    <row r="24" spans="2:10" ht="15" customHeight="1">
      <c r="B24" s="249" t="s">
        <v>275</v>
      </c>
      <c r="D24" s="467" t="s">
        <v>155</v>
      </c>
      <c r="E24" s="468"/>
      <c r="F24" s="469"/>
      <c r="G24" s="466">
        <v>98.34</v>
      </c>
      <c r="H24" s="465">
        <v>20.47</v>
      </c>
      <c r="I24" s="462"/>
      <c r="J24" s="461" t="s">
        <v>590</v>
      </c>
    </row>
    <row r="25" spans="2:10" ht="15" customHeight="1">
      <c r="B25" s="249" t="s">
        <v>276</v>
      </c>
      <c r="D25" s="467" t="s">
        <v>240</v>
      </c>
      <c r="E25" s="468"/>
      <c r="F25" s="469"/>
      <c r="G25" s="466">
        <v>426.84</v>
      </c>
      <c r="H25" s="465">
        <v>23.67</v>
      </c>
      <c r="I25" s="462"/>
      <c r="J25" s="461" t="s">
        <v>589</v>
      </c>
    </row>
    <row r="26" spans="2:10" ht="15" customHeight="1">
      <c r="B26" s="249" t="s">
        <v>277</v>
      </c>
      <c r="D26" s="467" t="s">
        <v>85</v>
      </c>
      <c r="E26" s="468"/>
      <c r="F26" s="469"/>
      <c r="G26" s="466">
        <v>699.49300000000005</v>
      </c>
      <c r="H26" s="465">
        <v>23.67</v>
      </c>
      <c r="I26" s="462"/>
      <c r="J26" s="461" t="s">
        <v>588</v>
      </c>
    </row>
    <row r="27" spans="2:10" ht="15" customHeight="1">
      <c r="B27" s="249" t="s">
        <v>278</v>
      </c>
      <c r="D27" s="467" t="s">
        <v>375</v>
      </c>
      <c r="E27" s="468"/>
      <c r="F27" s="469"/>
      <c r="G27" s="466">
        <v>2.58</v>
      </c>
      <c r="H27" s="465">
        <v>0</v>
      </c>
      <c r="I27" s="462"/>
      <c r="J27" s="461" t="s">
        <v>587</v>
      </c>
    </row>
    <row r="28" spans="2:10" ht="15" customHeight="1">
      <c r="B28" s="249" t="s">
        <v>279</v>
      </c>
      <c r="D28" s="467" t="s">
        <v>222</v>
      </c>
      <c r="E28" s="468"/>
      <c r="F28" s="469"/>
      <c r="G28" s="466">
        <v>126.15</v>
      </c>
      <c r="H28" s="465">
        <v>17.27</v>
      </c>
      <c r="I28" s="462"/>
      <c r="J28" s="461" t="s">
        <v>591</v>
      </c>
    </row>
    <row r="29" spans="2:10" ht="15" customHeight="1">
      <c r="B29" s="249" t="s">
        <v>280</v>
      </c>
      <c r="D29" s="467" t="s">
        <v>140</v>
      </c>
      <c r="E29" s="468"/>
      <c r="F29" s="469"/>
      <c r="G29" s="466">
        <v>16.07</v>
      </c>
      <c r="H29" s="465">
        <v>13.36</v>
      </c>
      <c r="I29" s="462"/>
      <c r="J29" s="461" t="s">
        <v>593</v>
      </c>
    </row>
    <row r="30" spans="2:10" ht="15" customHeight="1">
      <c r="B30" s="249" t="s">
        <v>281</v>
      </c>
      <c r="D30" s="467" t="s">
        <v>373</v>
      </c>
      <c r="E30" s="468"/>
      <c r="F30" s="469"/>
      <c r="G30" s="466">
        <v>153.06</v>
      </c>
      <c r="H30" s="465">
        <v>22.39</v>
      </c>
      <c r="I30" s="462"/>
      <c r="J30" s="461" t="s">
        <v>592</v>
      </c>
    </row>
    <row r="31" spans="2:10" ht="15" customHeight="1">
      <c r="B31" s="249" t="s">
        <v>282</v>
      </c>
      <c r="D31" s="467" t="s">
        <v>225</v>
      </c>
      <c r="E31" s="468"/>
      <c r="F31" s="469"/>
      <c r="G31" s="466">
        <v>102.4</v>
      </c>
      <c r="H31" s="465">
        <v>17.27</v>
      </c>
      <c r="I31" s="462"/>
      <c r="J31" s="461" t="s">
        <v>594</v>
      </c>
    </row>
    <row r="32" spans="2:10" ht="15" customHeight="1">
      <c r="B32" s="249" t="s">
        <v>283</v>
      </c>
      <c r="D32" s="467" t="s">
        <v>229</v>
      </c>
      <c r="E32" s="468"/>
      <c r="F32" s="469"/>
      <c r="G32" s="466">
        <v>101.08</v>
      </c>
      <c r="H32" s="465">
        <v>17.27</v>
      </c>
      <c r="I32" s="462"/>
      <c r="J32" s="461" t="s">
        <v>596</v>
      </c>
    </row>
    <row r="33" spans="2:10" ht="15" customHeight="1">
      <c r="B33" s="249" t="s">
        <v>284</v>
      </c>
      <c r="D33" s="467" t="s">
        <v>167</v>
      </c>
      <c r="E33" s="468"/>
      <c r="F33" s="469"/>
      <c r="G33" s="466">
        <v>96.39</v>
      </c>
      <c r="H33" s="465">
        <v>17.27</v>
      </c>
      <c r="I33" s="462"/>
      <c r="J33" s="461" t="s">
        <v>595</v>
      </c>
    </row>
    <row r="34" spans="2:10" ht="15" customHeight="1">
      <c r="B34" s="249" t="s">
        <v>285</v>
      </c>
      <c r="D34" s="467" t="s">
        <v>118</v>
      </c>
      <c r="E34" s="468"/>
      <c r="F34" s="469"/>
      <c r="G34" s="466">
        <v>96.39</v>
      </c>
      <c r="H34" s="465">
        <v>17.27</v>
      </c>
      <c r="I34" s="462"/>
      <c r="J34" s="461" t="s">
        <v>595</v>
      </c>
    </row>
    <row r="35" spans="2:10" ht="15" customHeight="1">
      <c r="B35" s="249" t="s">
        <v>286</v>
      </c>
      <c r="D35" s="467" t="s">
        <v>389</v>
      </c>
      <c r="E35" s="468"/>
      <c r="F35" s="469"/>
      <c r="G35" s="466">
        <v>185.29</v>
      </c>
      <c r="H35" s="465">
        <v>22.39</v>
      </c>
      <c r="I35" s="462"/>
      <c r="J35" s="461" t="s">
        <v>597</v>
      </c>
    </row>
    <row r="36" spans="2:10" ht="15" customHeight="1">
      <c r="B36" s="249" t="s">
        <v>287</v>
      </c>
      <c r="D36" s="467" t="s">
        <v>374</v>
      </c>
      <c r="E36" s="468"/>
      <c r="F36" s="469"/>
      <c r="G36" s="466">
        <v>113.04</v>
      </c>
      <c r="H36" s="465">
        <v>17.27</v>
      </c>
      <c r="I36" s="462"/>
      <c r="J36" s="461" t="s">
        <v>598</v>
      </c>
    </row>
    <row r="37" spans="2:10" ht="15" customHeight="1">
      <c r="B37" s="249" t="s">
        <v>288</v>
      </c>
      <c r="D37" s="467" t="s">
        <v>117</v>
      </c>
      <c r="E37" s="468"/>
      <c r="F37" s="469"/>
      <c r="G37" s="466">
        <v>112.07</v>
      </c>
      <c r="H37" s="465">
        <v>17.27</v>
      </c>
      <c r="I37" s="462"/>
      <c r="J37" s="461" t="s">
        <v>599</v>
      </c>
    </row>
    <row r="38" spans="2:10" ht="15" customHeight="1">
      <c r="B38" s="249" t="s">
        <v>289</v>
      </c>
      <c r="D38" s="467" t="s">
        <v>176</v>
      </c>
      <c r="E38" s="468"/>
      <c r="F38" s="469"/>
      <c r="G38" s="466">
        <v>96.39</v>
      </c>
      <c r="H38" s="465">
        <v>17.27</v>
      </c>
      <c r="I38" s="462"/>
      <c r="J38" s="461" t="s">
        <v>595</v>
      </c>
    </row>
    <row r="39" spans="2:10" ht="15" customHeight="1">
      <c r="B39" s="249" t="s">
        <v>290</v>
      </c>
      <c r="D39" s="467" t="s">
        <v>169</v>
      </c>
      <c r="E39" s="468"/>
      <c r="F39" s="469"/>
      <c r="G39" s="466">
        <v>5.1100000000000003</v>
      </c>
      <c r="H39" s="465">
        <v>0</v>
      </c>
      <c r="I39" s="462"/>
      <c r="J39" s="461" t="s">
        <v>600</v>
      </c>
    </row>
    <row r="40" spans="2:10" ht="15" customHeight="1">
      <c r="B40" s="249" t="s">
        <v>291</v>
      </c>
      <c r="D40" s="467" t="s">
        <v>223</v>
      </c>
      <c r="E40" s="468"/>
      <c r="F40" s="469"/>
      <c r="G40" s="466">
        <v>5.4885185185185179</v>
      </c>
      <c r="H40" s="465">
        <v>0</v>
      </c>
      <c r="I40" s="462"/>
      <c r="J40" s="461"/>
    </row>
    <row r="41" spans="2:10" ht="15" customHeight="1">
      <c r="B41" s="249" t="s">
        <v>292</v>
      </c>
      <c r="D41" s="467" t="s">
        <v>116</v>
      </c>
      <c r="E41" s="468"/>
      <c r="F41" s="469"/>
      <c r="G41" s="466">
        <v>65.799899999999994</v>
      </c>
      <c r="H41" s="465">
        <v>17.27</v>
      </c>
      <c r="I41" s="462"/>
      <c r="J41" s="461" t="s">
        <v>601</v>
      </c>
    </row>
    <row r="42" spans="2:10" ht="15" customHeight="1">
      <c r="B42" s="249" t="s">
        <v>293</v>
      </c>
      <c r="D42" s="467" t="s">
        <v>226</v>
      </c>
      <c r="E42" s="468"/>
      <c r="F42" s="469"/>
      <c r="G42" s="466">
        <v>85.451990333889825</v>
      </c>
      <c r="H42" s="465">
        <v>17.27</v>
      </c>
      <c r="I42" s="462"/>
      <c r="J42" s="461"/>
    </row>
    <row r="43" spans="2:10" ht="15" customHeight="1">
      <c r="B43" s="249" t="s">
        <v>294</v>
      </c>
      <c r="D43" s="467" t="s">
        <v>220</v>
      </c>
      <c r="E43" s="468"/>
      <c r="F43" s="469"/>
      <c r="G43" s="466">
        <v>1224.49</v>
      </c>
      <c r="H43" s="465">
        <v>386.22640945454543</v>
      </c>
      <c r="I43" s="462"/>
      <c r="J43" s="461"/>
    </row>
    <row r="44" spans="2:10" ht="15" customHeight="1">
      <c r="B44" s="249" t="s">
        <v>295</v>
      </c>
      <c r="D44" s="467" t="s">
        <v>164</v>
      </c>
      <c r="E44" s="468"/>
      <c r="F44" s="469"/>
      <c r="G44" s="466">
        <v>3.83</v>
      </c>
      <c r="H44" s="465"/>
      <c r="I44" s="462"/>
      <c r="J44" s="461" t="s">
        <v>602</v>
      </c>
    </row>
    <row r="45" spans="2:10" ht="15" customHeight="1">
      <c r="B45" s="249" t="s">
        <v>296</v>
      </c>
      <c r="D45" s="467" t="s">
        <v>299</v>
      </c>
      <c r="E45" s="468"/>
      <c r="F45" s="469"/>
      <c r="G45" s="466">
        <v>3.83</v>
      </c>
      <c r="H45" s="465"/>
      <c r="I45" s="462"/>
      <c r="J45" s="461" t="s">
        <v>602</v>
      </c>
    </row>
    <row r="46" spans="2:10" ht="15" customHeight="1">
      <c r="B46" s="249" t="s">
        <v>297</v>
      </c>
      <c r="D46" s="467" t="s">
        <v>224</v>
      </c>
      <c r="E46" s="468"/>
      <c r="F46" s="469"/>
      <c r="G46" s="466">
        <v>357.07</v>
      </c>
      <c r="H46" s="465">
        <v>227.45358999999999</v>
      </c>
      <c r="I46" s="462"/>
      <c r="J46" s="461"/>
    </row>
    <row r="47" spans="2:10" ht="15" customHeight="1">
      <c r="B47" s="249" t="s">
        <v>298</v>
      </c>
      <c r="D47" s="467" t="s">
        <v>119</v>
      </c>
      <c r="E47" s="468"/>
      <c r="F47" s="469"/>
      <c r="G47" s="466">
        <v>192.22</v>
      </c>
      <c r="H47" s="465">
        <v>121.75971721456347</v>
      </c>
      <c r="I47" s="462"/>
      <c r="J47" s="461"/>
    </row>
    <row r="48" spans="2:10" ht="15" customHeight="1">
      <c r="B48" s="249" t="s">
        <v>390</v>
      </c>
      <c r="D48" s="467" t="s">
        <v>391</v>
      </c>
      <c r="E48" s="468"/>
      <c r="F48" s="469"/>
      <c r="G48" s="466">
        <v>1314.04</v>
      </c>
      <c r="H48" s="465">
        <v>413.23990138496117</v>
      </c>
      <c r="I48" s="462"/>
      <c r="J48" s="461"/>
    </row>
    <row r="49" spans="2:10" ht="15" customHeight="1">
      <c r="B49" s="249" t="s">
        <v>392</v>
      </c>
      <c r="D49" s="467" t="s">
        <v>395</v>
      </c>
      <c r="E49" s="468"/>
      <c r="F49" s="469"/>
      <c r="G49" s="466">
        <v>34.17</v>
      </c>
      <c r="H49" s="465">
        <v>17.27</v>
      </c>
      <c r="I49" s="462"/>
      <c r="J49" s="461" t="s">
        <v>603</v>
      </c>
    </row>
    <row r="50" spans="2:10" ht="15" customHeight="1">
      <c r="B50" s="249" t="s">
        <v>393</v>
      </c>
      <c r="D50" s="467" t="s">
        <v>394</v>
      </c>
      <c r="E50" s="468"/>
      <c r="F50" s="469"/>
      <c r="G50" s="466">
        <v>87.45</v>
      </c>
      <c r="H50" s="465">
        <v>17.27</v>
      </c>
      <c r="I50" s="462"/>
      <c r="J50" s="461" t="s">
        <v>604</v>
      </c>
    </row>
    <row r="51" spans="2:10" ht="15" customHeight="1">
      <c r="B51" s="249" t="s">
        <v>399</v>
      </c>
      <c r="D51" s="467" t="s">
        <v>400</v>
      </c>
      <c r="E51" s="468"/>
      <c r="F51" s="469"/>
      <c r="G51" s="466">
        <v>177.63</v>
      </c>
      <c r="H51" s="465">
        <v>22.39</v>
      </c>
      <c r="I51" s="462"/>
      <c r="J51" s="461" t="s">
        <v>605</v>
      </c>
    </row>
    <row r="52" spans="2:10" ht="15" customHeight="1">
      <c r="B52" s="249" t="s">
        <v>415</v>
      </c>
      <c r="D52" s="467" t="s">
        <v>416</v>
      </c>
      <c r="E52" s="468"/>
      <c r="F52" s="469"/>
      <c r="G52" s="466">
        <v>334.66</v>
      </c>
      <c r="H52" s="465">
        <v>22.39</v>
      </c>
      <c r="I52" s="462"/>
      <c r="J52" s="461" t="s">
        <v>606</v>
      </c>
    </row>
    <row r="53" spans="2:10" ht="15" customHeight="1">
      <c r="B53" s="249" t="s">
        <v>419</v>
      </c>
      <c r="D53" s="467" t="s">
        <v>420</v>
      </c>
      <c r="E53" s="468"/>
      <c r="F53" s="469"/>
      <c r="G53" s="466">
        <v>93.95</v>
      </c>
      <c r="H53" s="465">
        <v>23.67</v>
      </c>
      <c r="I53" s="462"/>
      <c r="J53" s="461" t="s">
        <v>607</v>
      </c>
    </row>
    <row r="54" spans="2:10" ht="15" customHeight="1">
      <c r="B54" s="249" t="s">
        <v>438</v>
      </c>
      <c r="D54" s="467" t="s">
        <v>439</v>
      </c>
      <c r="E54" s="468"/>
      <c r="F54" s="469"/>
      <c r="G54" s="466">
        <v>16.079999999999998</v>
      </c>
      <c r="H54" s="465">
        <v>15.35</v>
      </c>
      <c r="I54" s="462"/>
      <c r="J54" s="461" t="s">
        <v>609</v>
      </c>
    </row>
    <row r="55" spans="2:10" ht="15" customHeight="1">
      <c r="B55" s="249" t="s">
        <v>455</v>
      </c>
      <c r="D55" s="467" t="s">
        <v>456</v>
      </c>
      <c r="E55" s="468"/>
      <c r="F55" s="469"/>
      <c r="G55" s="466">
        <v>16</v>
      </c>
      <c r="H55" s="465">
        <v>15.355</v>
      </c>
      <c r="I55" s="462"/>
      <c r="J55" s="461" t="s">
        <v>608</v>
      </c>
    </row>
    <row r="56" spans="2:10" ht="15" customHeight="1">
      <c r="B56" s="249" t="s">
        <v>457</v>
      </c>
      <c r="D56" s="467" t="s">
        <v>459</v>
      </c>
      <c r="E56" s="468"/>
      <c r="F56" s="469"/>
      <c r="G56" s="466">
        <v>63.64</v>
      </c>
      <c r="H56" s="465">
        <v>17.27</v>
      </c>
      <c r="I56" s="462"/>
      <c r="J56" s="461" t="s">
        <v>610</v>
      </c>
    </row>
    <row r="57" spans="2:10" ht="15" customHeight="1">
      <c r="B57" s="249" t="s">
        <v>458</v>
      </c>
      <c r="D57" s="467" t="s">
        <v>460</v>
      </c>
      <c r="E57" s="468"/>
      <c r="F57" s="469"/>
      <c r="G57" s="466">
        <v>135.83000000000001</v>
      </c>
      <c r="H57" s="465">
        <v>20.47</v>
      </c>
      <c r="I57" s="462"/>
      <c r="J57" s="461" t="s">
        <v>576</v>
      </c>
    </row>
    <row r="58" spans="2:10" ht="15" customHeight="1">
      <c r="B58" s="249" t="s">
        <v>483</v>
      </c>
      <c r="D58" s="467" t="s">
        <v>486</v>
      </c>
      <c r="E58" s="468"/>
      <c r="F58" s="469"/>
      <c r="G58" s="466">
        <v>104.97</v>
      </c>
      <c r="H58" s="465">
        <v>17.27</v>
      </c>
      <c r="I58" s="462"/>
      <c r="J58" s="461" t="s">
        <v>611</v>
      </c>
    </row>
    <row r="59" spans="2:10" ht="15" customHeight="1">
      <c r="B59" s="249" t="s">
        <v>484</v>
      </c>
      <c r="D59" s="467" t="s">
        <v>487</v>
      </c>
      <c r="E59" s="468"/>
      <c r="F59" s="469"/>
      <c r="G59" s="466">
        <v>55.94</v>
      </c>
      <c r="H59" s="465">
        <v>17.27</v>
      </c>
      <c r="I59" s="462"/>
      <c r="J59" s="461" t="s">
        <v>612</v>
      </c>
    </row>
    <row r="60" spans="2:10" ht="15" customHeight="1">
      <c r="B60" s="249" t="s">
        <v>485</v>
      </c>
      <c r="D60" s="467" t="s">
        <v>488</v>
      </c>
      <c r="E60" s="468"/>
      <c r="F60" s="469"/>
      <c r="G60" s="466">
        <v>186.74</v>
      </c>
      <c r="H60" s="465">
        <v>20.47</v>
      </c>
      <c r="I60" s="462"/>
      <c r="J60" s="461" t="s">
        <v>613</v>
      </c>
    </row>
    <row r="61" spans="2:10" ht="15" customHeight="1">
      <c r="B61" s="249" t="s">
        <v>489</v>
      </c>
      <c r="D61" s="467" t="s">
        <v>491</v>
      </c>
      <c r="E61" s="468"/>
      <c r="F61" s="469"/>
      <c r="G61" s="466">
        <v>126.15</v>
      </c>
      <c r="H61" s="465">
        <v>17.27</v>
      </c>
      <c r="I61" s="462"/>
      <c r="J61" s="461" t="s">
        <v>591</v>
      </c>
    </row>
    <row r="62" spans="2:10" ht="15" customHeight="1">
      <c r="B62" s="249" t="s">
        <v>490</v>
      </c>
      <c r="D62" s="467" t="s">
        <v>492</v>
      </c>
      <c r="E62" s="468"/>
      <c r="F62" s="469"/>
      <c r="G62" s="466">
        <v>467.8</v>
      </c>
      <c r="H62" s="465">
        <v>22.39</v>
      </c>
      <c r="I62" s="462"/>
      <c r="J62" s="461" t="s">
        <v>614</v>
      </c>
    </row>
    <row r="63" spans="2:10" ht="15" customHeight="1">
      <c r="B63" s="249" t="s">
        <v>512</v>
      </c>
      <c r="D63" s="467" t="s">
        <v>513</v>
      </c>
      <c r="E63" s="468"/>
      <c r="F63" s="469"/>
      <c r="G63" s="466">
        <v>153.06</v>
      </c>
      <c r="H63" s="465">
        <v>22.39</v>
      </c>
      <c r="I63" s="462"/>
      <c r="J63" s="461" t="s">
        <v>592</v>
      </c>
    </row>
    <row r="64" spans="2:10" ht="15" customHeight="1">
      <c r="B64" s="249" t="s">
        <v>514</v>
      </c>
      <c r="D64" s="467" t="s">
        <v>515</v>
      </c>
      <c r="E64" s="468"/>
      <c r="F64" s="469"/>
      <c r="G64" s="466">
        <v>86.74</v>
      </c>
      <c r="H64" s="465">
        <v>20.47</v>
      </c>
      <c r="I64" s="462"/>
      <c r="J64" s="461" t="s">
        <v>615</v>
      </c>
    </row>
    <row r="65" spans="2:10" ht="15" customHeight="1">
      <c r="B65" s="249" t="s">
        <v>516</v>
      </c>
      <c r="D65" s="467" t="s">
        <v>517</v>
      </c>
      <c r="E65" s="468"/>
      <c r="F65" s="469"/>
      <c r="G65" s="466">
        <v>98.33</v>
      </c>
      <c r="H65" s="465">
        <v>20.47</v>
      </c>
      <c r="I65" s="462"/>
      <c r="J65" s="461" t="s">
        <v>590</v>
      </c>
    </row>
    <row r="66" spans="2:10" ht="15" customHeight="1">
      <c r="B66" s="249" t="s">
        <v>547</v>
      </c>
      <c r="D66" s="467" t="s">
        <v>546</v>
      </c>
      <c r="E66" s="468"/>
      <c r="F66" s="469"/>
      <c r="G66" s="466">
        <v>94.02</v>
      </c>
      <c r="H66" s="465">
        <v>20.47</v>
      </c>
      <c r="I66" s="462"/>
      <c r="J66" s="461" t="s">
        <v>616</v>
      </c>
    </row>
    <row r="67" spans="2:10" ht="24.95" customHeight="1"/>
    <row r="68" spans="2:10" ht="24.95" customHeight="1"/>
  </sheetData>
  <mergeCells count="3">
    <mergeCell ref="D4:F6"/>
    <mergeCell ref="D3:H3"/>
    <mergeCell ref="B4:B6"/>
  </mergeCells>
  <phoneticPr fontId="0" type="noConversion"/>
  <printOptions horizontalCentered="1"/>
  <pageMargins left="0.39370078740157483" right="0.59055118110236227" top="0.55118110236220474" bottom="0.70866141732283472" header="0.27559055118110237" footer="0.35433070866141736"/>
  <pageSetup paperSize="9" scale="72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2:I13"/>
  <sheetViews>
    <sheetView tabSelected="1" view="pageBreakPreview" zoomScaleNormal="100" workbookViewId="0">
      <selection activeCell="C65" activeCellId="1" sqref="C64 C65"/>
    </sheetView>
  </sheetViews>
  <sheetFormatPr defaultRowHeight="20.100000000000001" customHeight="1"/>
  <cols>
    <col min="1" max="1" width="9.140625" style="247"/>
    <col min="2" max="2" width="12.140625" style="247" customWidth="1"/>
    <col min="3" max="3" width="16.7109375" style="247" customWidth="1"/>
    <col min="4" max="4" width="24.7109375" style="247" customWidth="1"/>
    <col min="5" max="6" width="12.7109375" style="247" customWidth="1"/>
    <col min="7" max="7" width="16.5703125" style="247" customWidth="1"/>
    <col min="8" max="8" width="2.5703125" style="248" customWidth="1"/>
    <col min="9" max="9" width="19.85546875" style="247" customWidth="1"/>
    <col min="10" max="16384" width="9.140625" style="247"/>
  </cols>
  <sheetData>
    <row r="2" spans="2:9" ht="30" customHeight="1">
      <c r="B2" s="473"/>
      <c r="C2" s="474" t="s">
        <v>242</v>
      </c>
      <c r="D2" s="474"/>
      <c r="E2" s="474"/>
      <c r="F2" s="474"/>
      <c r="G2" s="474"/>
      <c r="H2" s="475"/>
      <c r="I2" s="483" t="s">
        <v>622</v>
      </c>
    </row>
    <row r="3" spans="2:9" ht="20.100000000000001" customHeight="1">
      <c r="B3" s="609" t="s">
        <v>243</v>
      </c>
      <c r="C3" s="609" t="s">
        <v>244</v>
      </c>
      <c r="D3" s="609"/>
      <c r="E3" s="609"/>
      <c r="F3" s="609"/>
      <c r="G3" s="492" t="s">
        <v>245</v>
      </c>
      <c r="H3" s="493"/>
      <c r="I3" s="492" t="s">
        <v>245</v>
      </c>
    </row>
    <row r="4" spans="2:9" ht="20.100000000000001" customHeight="1">
      <c r="B4" s="609"/>
      <c r="C4" s="610"/>
      <c r="D4" s="610"/>
      <c r="E4" s="610"/>
      <c r="F4" s="610"/>
      <c r="G4" s="492" t="s">
        <v>246</v>
      </c>
      <c r="H4" s="493"/>
      <c r="I4" s="492" t="s">
        <v>246</v>
      </c>
    </row>
    <row r="5" spans="2:9" ht="20.100000000000001" customHeight="1">
      <c r="B5" s="478" t="s">
        <v>247</v>
      </c>
      <c r="C5" s="480" t="s">
        <v>95</v>
      </c>
      <c r="D5" s="481"/>
      <c r="E5" s="481"/>
      <c r="F5" s="482"/>
      <c r="G5" s="479">
        <v>27</v>
      </c>
      <c r="H5" s="475"/>
      <c r="I5" s="477">
        <v>42.45</v>
      </c>
    </row>
    <row r="6" spans="2:9" ht="20.100000000000001" customHeight="1">
      <c r="B6" s="476" t="s">
        <v>430</v>
      </c>
      <c r="C6" s="480" t="s">
        <v>431</v>
      </c>
      <c r="D6" s="481"/>
      <c r="E6" s="481"/>
      <c r="F6" s="482"/>
      <c r="G6" s="477">
        <v>12.6043</v>
      </c>
      <c r="H6" s="475"/>
      <c r="I6" s="477">
        <v>14.21</v>
      </c>
    </row>
    <row r="7" spans="2:9" ht="20.100000000000001" customHeight="1">
      <c r="B7" s="476" t="s">
        <v>248</v>
      </c>
      <c r="C7" s="480" t="s">
        <v>96</v>
      </c>
      <c r="D7" s="481"/>
      <c r="E7" s="481"/>
      <c r="F7" s="482"/>
      <c r="G7" s="477">
        <v>7.9973000000000001</v>
      </c>
      <c r="H7" s="475"/>
      <c r="I7" s="477">
        <v>9.9</v>
      </c>
    </row>
    <row r="8" spans="2:9" ht="20.100000000000001" customHeight="1">
      <c r="B8" s="476" t="s">
        <v>249</v>
      </c>
      <c r="C8" s="480" t="s">
        <v>227</v>
      </c>
      <c r="D8" s="481"/>
      <c r="E8" s="481"/>
      <c r="F8" s="482"/>
      <c r="G8" s="477">
        <v>12.6043</v>
      </c>
      <c r="H8" s="475"/>
      <c r="I8" s="477">
        <v>13.31</v>
      </c>
    </row>
    <row r="9" spans="2:9" ht="20.100000000000001" customHeight="1">
      <c r="B9" s="476" t="s">
        <v>441</v>
      </c>
      <c r="C9" s="480" t="s">
        <v>442</v>
      </c>
      <c r="D9" s="481"/>
      <c r="E9" s="481"/>
      <c r="F9" s="482"/>
      <c r="G9" s="477">
        <v>12.6043</v>
      </c>
      <c r="H9" s="475"/>
      <c r="I9" s="477">
        <v>13.31</v>
      </c>
    </row>
    <row r="10" spans="2:9" ht="20.100000000000001" customHeight="1">
      <c r="B10" s="476" t="s">
        <v>250</v>
      </c>
      <c r="C10" s="480" t="s">
        <v>121</v>
      </c>
      <c r="D10" s="481"/>
      <c r="E10" s="481"/>
      <c r="F10" s="482"/>
      <c r="G10" s="477">
        <v>44.786799999999999</v>
      </c>
      <c r="H10" s="475"/>
      <c r="I10" s="477"/>
    </row>
    <row r="11" spans="2:9" ht="20.100000000000001" customHeight="1">
      <c r="B11" s="476" t="s">
        <v>251</v>
      </c>
      <c r="C11" s="480" t="s">
        <v>156</v>
      </c>
      <c r="D11" s="481"/>
      <c r="E11" s="481"/>
      <c r="F11" s="482"/>
      <c r="G11" s="477">
        <v>15.364641700000002</v>
      </c>
      <c r="H11" s="475"/>
      <c r="I11" s="477"/>
    </row>
    <row r="12" spans="2:9" ht="20.100000000000001" customHeight="1">
      <c r="B12" s="476" t="s">
        <v>461</v>
      </c>
      <c r="C12" s="480" t="s">
        <v>463</v>
      </c>
      <c r="D12" s="481"/>
      <c r="E12" s="481"/>
      <c r="F12" s="482"/>
      <c r="G12" s="477">
        <v>19.79</v>
      </c>
      <c r="H12" s="475"/>
      <c r="I12" s="477"/>
    </row>
    <row r="13" spans="2:9" ht="20.100000000000001" customHeight="1">
      <c r="B13" s="476" t="s">
        <v>462</v>
      </c>
      <c r="C13" s="480" t="s">
        <v>464</v>
      </c>
      <c r="D13" s="481"/>
      <c r="E13" s="481"/>
      <c r="F13" s="482"/>
      <c r="G13" s="477">
        <v>13.05</v>
      </c>
      <c r="H13" s="475"/>
      <c r="I13" s="477">
        <v>30.98</v>
      </c>
    </row>
  </sheetData>
  <mergeCells count="2">
    <mergeCell ref="B3:B4"/>
    <mergeCell ref="C3:F4"/>
  </mergeCells>
  <phoneticPr fontId="0" type="noConversion"/>
  <pageMargins left="0.78740157499999996" right="0.78740157499999996" top="0.984251969" bottom="0.984251969" header="0.49212598499999999" footer="0.49212598499999999"/>
  <pageSetup paperSize="9" scale="73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2:J81"/>
  <sheetViews>
    <sheetView showGridLines="0" tabSelected="1" view="pageBreakPreview" topLeftCell="A13" zoomScale="80" zoomScaleNormal="60" workbookViewId="0">
      <selection activeCell="C65" activeCellId="1" sqref="C64 C65"/>
    </sheetView>
  </sheetViews>
  <sheetFormatPr defaultRowHeight="20.100000000000001" customHeight="1"/>
  <cols>
    <col min="1" max="1" width="5" style="16" customWidth="1"/>
    <col min="2" max="2" width="14.42578125" style="253" customWidth="1"/>
    <col min="3" max="3" width="1.140625" style="250" customWidth="1"/>
    <col min="4" max="4" width="69.140625" style="16" customWidth="1"/>
    <col min="5" max="5" width="15" style="16" hidden="1" customWidth="1"/>
    <col min="6" max="6" width="13.7109375" style="16" customWidth="1"/>
    <col min="7" max="7" width="21.140625" style="257" customWidth="1"/>
    <col min="8" max="8" width="1" style="16" customWidth="1"/>
    <col min="9" max="9" width="21.140625" style="257" customWidth="1"/>
    <col min="10" max="10" width="11.28515625" style="455" bestFit="1" customWidth="1"/>
    <col min="11" max="16384" width="9.140625" style="16"/>
  </cols>
  <sheetData>
    <row r="2" spans="2:9" ht="26.1" customHeight="1">
      <c r="D2" s="611" t="s">
        <v>102</v>
      </c>
      <c r="E2" s="611"/>
      <c r="F2" s="611"/>
      <c r="G2" s="611"/>
      <c r="I2" s="16"/>
    </row>
    <row r="3" spans="2:9" ht="20.100000000000001" customHeight="1">
      <c r="B3" s="50" t="s">
        <v>243</v>
      </c>
      <c r="D3" s="42" t="s">
        <v>627</v>
      </c>
      <c r="E3" s="42"/>
      <c r="F3" s="50" t="s">
        <v>103</v>
      </c>
      <c r="G3" s="456" t="s">
        <v>80</v>
      </c>
      <c r="I3" s="456" t="s">
        <v>626</v>
      </c>
    </row>
    <row r="4" spans="2:9" ht="20.100000000000001" customHeight="1">
      <c r="B4" s="254" t="s">
        <v>300</v>
      </c>
      <c r="D4" s="258" t="s">
        <v>179</v>
      </c>
      <c r="E4" s="258"/>
      <c r="F4" s="66" t="s">
        <v>159</v>
      </c>
      <c r="G4" s="256">
        <v>3.3291000000000004</v>
      </c>
      <c r="I4" s="491" t="s">
        <v>617</v>
      </c>
    </row>
    <row r="5" spans="2:9" ht="20.100000000000001" customHeight="1">
      <c r="B5" s="254" t="s">
        <v>301</v>
      </c>
      <c r="D5" s="258" t="s">
        <v>180</v>
      </c>
      <c r="E5" s="258"/>
      <c r="F5" s="66" t="s">
        <v>159</v>
      </c>
      <c r="G5" s="256">
        <v>3.7</v>
      </c>
      <c r="I5" s="491" t="s">
        <v>618</v>
      </c>
    </row>
    <row r="6" spans="2:9" ht="20.100000000000001" customHeight="1">
      <c r="B6" s="254" t="s">
        <v>302</v>
      </c>
      <c r="D6" s="258" t="s">
        <v>320</v>
      </c>
      <c r="E6" s="258"/>
      <c r="F6" s="66" t="s">
        <v>322</v>
      </c>
      <c r="G6" s="256">
        <v>1378.1378000000002</v>
      </c>
      <c r="I6" s="491" t="s">
        <v>617</v>
      </c>
    </row>
    <row r="7" spans="2:9" ht="20.100000000000001" customHeight="1">
      <c r="B7" s="254" t="s">
        <v>303</v>
      </c>
      <c r="D7" s="258" t="s">
        <v>125</v>
      </c>
      <c r="E7" s="258"/>
      <c r="F7" s="66" t="s">
        <v>5</v>
      </c>
      <c r="G7" s="256">
        <v>23.28</v>
      </c>
      <c r="I7" s="491" t="s">
        <v>619</v>
      </c>
    </row>
    <row r="8" spans="2:9" ht="20.100000000000001" customHeight="1">
      <c r="B8" s="254" t="s">
        <v>307</v>
      </c>
      <c r="D8" s="258" t="s">
        <v>321</v>
      </c>
      <c r="E8" s="258"/>
      <c r="F8" s="66" t="s">
        <v>322</v>
      </c>
      <c r="G8" s="256">
        <v>40.53</v>
      </c>
      <c r="I8" s="491" t="s">
        <v>618</v>
      </c>
    </row>
    <row r="9" spans="2:9" ht="20.100000000000001" customHeight="1">
      <c r="B9" s="254" t="s">
        <v>310</v>
      </c>
      <c r="D9" s="258" t="s">
        <v>126</v>
      </c>
      <c r="E9" s="258"/>
      <c r="F9" s="66" t="s">
        <v>159</v>
      </c>
      <c r="G9" s="256">
        <v>0.05</v>
      </c>
      <c r="I9" s="491" t="s">
        <v>618</v>
      </c>
    </row>
    <row r="10" spans="2:9" ht="20.100000000000001" customHeight="1">
      <c r="B10" s="254" t="s">
        <v>311</v>
      </c>
      <c r="D10" s="258" t="s">
        <v>126</v>
      </c>
      <c r="E10" s="258"/>
      <c r="F10" s="66" t="s">
        <v>228</v>
      </c>
      <c r="G10" s="256">
        <v>50</v>
      </c>
      <c r="I10" s="491" t="s">
        <v>618</v>
      </c>
    </row>
    <row r="11" spans="2:9" ht="20.100000000000001" customHeight="1">
      <c r="B11" s="254" t="s">
        <v>318</v>
      </c>
      <c r="D11" s="258" t="s">
        <v>324</v>
      </c>
      <c r="E11" s="258"/>
      <c r="F11" s="66" t="s">
        <v>322</v>
      </c>
      <c r="G11" s="256">
        <v>202.71</v>
      </c>
      <c r="I11" s="491" t="s">
        <v>618</v>
      </c>
    </row>
    <row r="12" spans="2:9" ht="20.100000000000001" customHeight="1">
      <c r="B12" s="254" t="s">
        <v>376</v>
      </c>
      <c r="D12" s="258" t="s">
        <v>370</v>
      </c>
      <c r="E12" s="258"/>
      <c r="F12" s="66" t="s">
        <v>6</v>
      </c>
      <c r="G12" s="256">
        <v>0.42470000000000002</v>
      </c>
      <c r="I12" s="491" t="s">
        <v>617</v>
      </c>
    </row>
    <row r="13" spans="2:9" ht="20.100000000000001" customHeight="1">
      <c r="B13" s="254" t="s">
        <v>380</v>
      </c>
      <c r="D13" s="258" t="s">
        <v>381</v>
      </c>
      <c r="E13" s="258"/>
      <c r="F13" s="66" t="s">
        <v>5</v>
      </c>
      <c r="G13" s="256">
        <v>23.28</v>
      </c>
      <c r="I13" s="491" t="s">
        <v>619</v>
      </c>
    </row>
    <row r="14" spans="2:9" ht="20.100000000000001" customHeight="1">
      <c r="B14" s="254" t="s">
        <v>383</v>
      </c>
      <c r="D14" s="258" t="s">
        <v>382</v>
      </c>
      <c r="E14" s="258"/>
      <c r="F14" s="66" t="s">
        <v>5</v>
      </c>
      <c r="G14" s="256">
        <v>30.63</v>
      </c>
      <c r="I14" s="491" t="s">
        <v>619</v>
      </c>
    </row>
    <row r="15" spans="2:9" ht="20.100000000000001" customHeight="1">
      <c r="B15" s="254" t="s">
        <v>384</v>
      </c>
      <c r="D15" s="258" t="s">
        <v>386</v>
      </c>
      <c r="E15" s="258"/>
      <c r="F15" s="66" t="s">
        <v>5</v>
      </c>
      <c r="G15" s="256">
        <v>30.63</v>
      </c>
      <c r="I15" s="491" t="s">
        <v>619</v>
      </c>
    </row>
    <row r="16" spans="2:9" ht="20.100000000000001" customHeight="1">
      <c r="B16" s="254" t="s">
        <v>385</v>
      </c>
      <c r="D16" s="258" t="s">
        <v>387</v>
      </c>
      <c r="E16" s="258"/>
      <c r="F16" s="66" t="s">
        <v>5</v>
      </c>
      <c r="G16" s="256">
        <v>30.63</v>
      </c>
      <c r="I16" s="491" t="s">
        <v>619</v>
      </c>
    </row>
    <row r="17" spans="2:9" ht="20.100000000000001" customHeight="1">
      <c r="B17" s="254" t="s">
        <v>396</v>
      </c>
      <c r="D17" s="258" t="s">
        <v>397</v>
      </c>
      <c r="E17" s="258"/>
      <c r="F17" s="66" t="s">
        <v>398</v>
      </c>
      <c r="G17" s="256">
        <v>1.65</v>
      </c>
      <c r="I17" s="491" t="s">
        <v>618</v>
      </c>
    </row>
    <row r="18" spans="2:9" ht="20.100000000000001" customHeight="1">
      <c r="B18" s="254" t="s">
        <v>401</v>
      </c>
      <c r="D18" s="258" t="s">
        <v>402</v>
      </c>
      <c r="E18" s="258"/>
      <c r="F18" s="66" t="s">
        <v>5</v>
      </c>
      <c r="G18" s="256">
        <v>1.37</v>
      </c>
      <c r="I18" s="491" t="s">
        <v>617</v>
      </c>
    </row>
    <row r="19" spans="2:9" ht="20.100000000000001" customHeight="1">
      <c r="B19" s="254" t="s">
        <v>443</v>
      </c>
      <c r="D19" s="258" t="s">
        <v>444</v>
      </c>
      <c r="E19" s="258"/>
      <c r="F19" s="66" t="s">
        <v>428</v>
      </c>
      <c r="G19" s="256">
        <v>160.12</v>
      </c>
      <c r="I19" s="491" t="s">
        <v>618</v>
      </c>
    </row>
    <row r="20" spans="2:9" ht="20.100000000000001" customHeight="1">
      <c r="B20" s="254" t="s">
        <v>445</v>
      </c>
      <c r="D20" s="258" t="s">
        <v>241</v>
      </c>
      <c r="E20" s="258"/>
      <c r="F20" s="66" t="s">
        <v>159</v>
      </c>
      <c r="G20" s="256">
        <v>0.35620000000000002</v>
      </c>
      <c r="I20" s="491" t="s">
        <v>618</v>
      </c>
    </row>
    <row r="21" spans="2:9" ht="20.100000000000001" customHeight="1">
      <c r="B21" s="254" t="s">
        <v>471</v>
      </c>
      <c r="D21" s="258" t="s">
        <v>465</v>
      </c>
      <c r="E21" s="258"/>
      <c r="F21" s="66" t="s">
        <v>103</v>
      </c>
      <c r="G21" s="256">
        <v>524.01</v>
      </c>
      <c r="I21" s="491" t="s">
        <v>618</v>
      </c>
    </row>
    <row r="22" spans="2:9" ht="20.100000000000001" customHeight="1">
      <c r="B22" s="254" t="s">
        <v>472</v>
      </c>
      <c r="D22" s="258" t="s">
        <v>466</v>
      </c>
      <c r="E22" s="258"/>
      <c r="F22" s="66" t="s">
        <v>159</v>
      </c>
      <c r="G22" s="256">
        <v>5.3</v>
      </c>
      <c r="I22" s="491" t="s">
        <v>618</v>
      </c>
    </row>
    <row r="23" spans="2:9" ht="20.100000000000001" customHeight="1">
      <c r="B23" s="254" t="s">
        <v>473</v>
      </c>
      <c r="D23" s="258" t="s">
        <v>467</v>
      </c>
      <c r="E23" s="258"/>
      <c r="F23" s="66" t="s">
        <v>103</v>
      </c>
      <c r="G23" s="256">
        <v>1</v>
      </c>
      <c r="I23" s="491" t="s">
        <v>618</v>
      </c>
    </row>
    <row r="24" spans="2:9" ht="20.100000000000001" customHeight="1">
      <c r="B24" s="254" t="s">
        <v>474</v>
      </c>
      <c r="D24" s="258" t="s">
        <v>468</v>
      </c>
      <c r="E24" s="258"/>
      <c r="F24" s="66" t="s">
        <v>428</v>
      </c>
      <c r="G24" s="256">
        <v>0.72</v>
      </c>
      <c r="I24" s="491" t="s">
        <v>618</v>
      </c>
    </row>
    <row r="25" spans="2:9" ht="20.100000000000001" customHeight="1">
      <c r="B25" s="254" t="s">
        <v>475</v>
      </c>
      <c r="D25" s="258" t="s">
        <v>469</v>
      </c>
      <c r="E25" s="258"/>
      <c r="F25" s="66" t="s">
        <v>103</v>
      </c>
      <c r="G25" s="256">
        <v>10</v>
      </c>
      <c r="I25" s="491" t="s">
        <v>618</v>
      </c>
    </row>
    <row r="26" spans="2:9" ht="20.100000000000001" customHeight="1">
      <c r="B26" s="254" t="s">
        <v>476</v>
      </c>
      <c r="D26" s="258" t="s">
        <v>470</v>
      </c>
      <c r="E26" s="258"/>
      <c r="F26" s="66" t="s">
        <v>428</v>
      </c>
      <c r="G26" s="256">
        <v>1</v>
      </c>
      <c r="I26" s="491" t="s">
        <v>618</v>
      </c>
    </row>
    <row r="27" spans="2:9" ht="20.100000000000001" customHeight="1">
      <c r="B27" s="254" t="s">
        <v>480</v>
      </c>
      <c r="D27" s="258" t="s">
        <v>477</v>
      </c>
      <c r="E27" s="258"/>
      <c r="F27" s="66" t="s">
        <v>103</v>
      </c>
      <c r="G27" s="256">
        <v>993.05</v>
      </c>
      <c r="I27" s="491" t="s">
        <v>618</v>
      </c>
    </row>
    <row r="28" spans="2:9" ht="20.100000000000001" customHeight="1">
      <c r="B28" s="254" t="s">
        <v>481</v>
      </c>
      <c r="D28" s="258" t="s">
        <v>478</v>
      </c>
      <c r="E28" s="258"/>
      <c r="F28" s="66" t="s">
        <v>103</v>
      </c>
      <c r="G28" s="256">
        <v>223.7</v>
      </c>
      <c r="I28" s="491" t="s">
        <v>618</v>
      </c>
    </row>
    <row r="29" spans="2:9" ht="20.100000000000001" customHeight="1">
      <c r="B29" s="254" t="s">
        <v>482</v>
      </c>
      <c r="D29" s="258" t="s">
        <v>479</v>
      </c>
      <c r="E29" s="258"/>
      <c r="F29" s="66" t="s">
        <v>103</v>
      </c>
      <c r="G29" s="256">
        <v>1033.54</v>
      </c>
      <c r="I29" s="491" t="s">
        <v>618</v>
      </c>
    </row>
    <row r="30" spans="2:9" ht="20.100000000000001" customHeight="1">
      <c r="B30" s="254" t="s">
        <v>494</v>
      </c>
      <c r="D30" s="258" t="s">
        <v>495</v>
      </c>
      <c r="E30" s="258"/>
      <c r="F30" s="66" t="s">
        <v>5</v>
      </c>
      <c r="G30" s="256">
        <v>5.343</v>
      </c>
      <c r="I30" s="491" t="s">
        <v>617</v>
      </c>
    </row>
    <row r="31" spans="2:9" ht="20.100000000000001" customHeight="1">
      <c r="B31" s="254" t="s">
        <v>498</v>
      </c>
      <c r="D31" s="258" t="s">
        <v>499</v>
      </c>
      <c r="E31" s="258"/>
      <c r="F31" s="66" t="s">
        <v>5</v>
      </c>
      <c r="G31" s="256">
        <v>168.12</v>
      </c>
      <c r="I31" s="491" t="s">
        <v>618</v>
      </c>
    </row>
    <row r="32" spans="2:9" ht="20.100000000000001" customHeight="1">
      <c r="B32" s="254" t="s">
        <v>502</v>
      </c>
      <c r="D32" s="258" t="s">
        <v>503</v>
      </c>
      <c r="E32" s="258"/>
      <c r="F32" s="66" t="s">
        <v>5</v>
      </c>
      <c r="G32" s="256">
        <v>23.16</v>
      </c>
      <c r="I32" s="491" t="s">
        <v>618</v>
      </c>
    </row>
    <row r="33" spans="2:9" ht="20.100000000000001" customHeight="1">
      <c r="B33" s="254" t="s">
        <v>504</v>
      </c>
      <c r="D33" s="258" t="s">
        <v>505</v>
      </c>
      <c r="E33" s="258"/>
      <c r="F33" s="66" t="s">
        <v>5</v>
      </c>
      <c r="G33" s="256">
        <v>2.0961000000000003</v>
      </c>
      <c r="I33" s="491" t="s">
        <v>617</v>
      </c>
    </row>
    <row r="34" spans="2:9" ht="20.100000000000001" customHeight="1">
      <c r="B34" s="254" t="s">
        <v>511</v>
      </c>
      <c r="D34" s="258" t="s">
        <v>522</v>
      </c>
      <c r="E34" s="258"/>
      <c r="F34" s="66" t="s">
        <v>103</v>
      </c>
      <c r="G34" s="256">
        <v>780.90000000000009</v>
      </c>
      <c r="I34" s="491" t="s">
        <v>617</v>
      </c>
    </row>
    <row r="35" spans="2:9" ht="20.100000000000001" customHeight="1">
      <c r="B35" s="254" t="s">
        <v>518</v>
      </c>
      <c r="D35" s="258" t="s">
        <v>520</v>
      </c>
      <c r="E35" s="258"/>
      <c r="F35" s="66" t="s">
        <v>103</v>
      </c>
      <c r="G35" s="256">
        <v>40.53</v>
      </c>
      <c r="I35" s="491" t="s">
        <v>618</v>
      </c>
    </row>
    <row r="36" spans="2:9" ht="20.100000000000001" customHeight="1">
      <c r="B36" s="254" t="s">
        <v>519</v>
      </c>
      <c r="D36" s="258" t="s">
        <v>521</v>
      </c>
      <c r="E36" s="258"/>
      <c r="F36" s="66" t="s">
        <v>228</v>
      </c>
      <c r="G36" s="256">
        <v>2603</v>
      </c>
      <c r="I36" s="491" t="s">
        <v>617</v>
      </c>
    </row>
    <row r="37" spans="2:9" ht="20.100000000000001" customHeight="1">
      <c r="B37" s="254" t="s">
        <v>548</v>
      </c>
      <c r="D37" s="258" t="s">
        <v>549</v>
      </c>
      <c r="E37" s="258"/>
      <c r="F37" s="66" t="s">
        <v>428</v>
      </c>
      <c r="G37" s="256">
        <v>315.10000000000002</v>
      </c>
      <c r="I37" s="491" t="s">
        <v>617</v>
      </c>
    </row>
    <row r="38" spans="2:9" ht="20.100000000000001" customHeight="1">
      <c r="D38" s="611" t="s">
        <v>620</v>
      </c>
      <c r="E38" s="611"/>
      <c r="F38" s="611"/>
      <c r="G38" s="611"/>
      <c r="I38" s="16"/>
    </row>
    <row r="39" spans="2:9" ht="20.100000000000001" customHeight="1">
      <c r="B39" s="50" t="s">
        <v>243</v>
      </c>
      <c r="D39" s="42" t="s">
        <v>0</v>
      </c>
      <c r="E39" s="42"/>
      <c r="F39" s="50" t="s">
        <v>103</v>
      </c>
      <c r="G39" s="456" t="s">
        <v>80</v>
      </c>
      <c r="I39" s="457"/>
    </row>
    <row r="40" spans="2:9" ht="20.100000000000001" customHeight="1">
      <c r="B40" s="322" t="s">
        <v>304</v>
      </c>
      <c r="D40" s="258" t="s">
        <v>219</v>
      </c>
      <c r="E40" s="258"/>
      <c r="F40" s="66" t="s">
        <v>5</v>
      </c>
      <c r="G40" s="256">
        <f>AUXILIAR!N39</f>
        <v>23.28</v>
      </c>
      <c r="I40" s="458"/>
    </row>
    <row r="41" spans="2:9" ht="20.100000000000001" customHeight="1">
      <c r="B41" s="322" t="s">
        <v>305</v>
      </c>
      <c r="D41" s="258" t="s">
        <v>172</v>
      </c>
      <c r="E41" s="258"/>
      <c r="F41" s="66" t="s">
        <v>5</v>
      </c>
      <c r="G41" s="256">
        <f>AUXILIAR!N80</f>
        <v>30.630000000000003</v>
      </c>
      <c r="I41" s="458"/>
    </row>
    <row r="42" spans="2:9" ht="20.100000000000001" customHeight="1">
      <c r="B42" s="322" t="s">
        <v>306</v>
      </c>
      <c r="D42" s="258" t="s">
        <v>123</v>
      </c>
      <c r="E42" s="258"/>
      <c r="F42" s="66" t="s">
        <v>228</v>
      </c>
      <c r="G42" s="256">
        <f>AUXILIAR!N139</f>
        <v>40.11</v>
      </c>
      <c r="I42" s="458"/>
    </row>
    <row r="43" spans="2:9" ht="20.100000000000001" customHeight="1">
      <c r="B43" s="322" t="s">
        <v>308</v>
      </c>
      <c r="D43" s="258" t="s">
        <v>404</v>
      </c>
      <c r="E43" s="258"/>
      <c r="F43" s="66" t="s">
        <v>5</v>
      </c>
      <c r="G43" s="256">
        <f>AUXILIAR!N184</f>
        <v>7.82</v>
      </c>
      <c r="I43" s="458"/>
    </row>
    <row r="44" spans="2:9" ht="20.100000000000001" customHeight="1">
      <c r="B44" s="322" t="s">
        <v>309</v>
      </c>
      <c r="D44" s="258" t="s">
        <v>407</v>
      </c>
      <c r="E44" s="258"/>
      <c r="F44" s="66" t="s">
        <v>5</v>
      </c>
      <c r="G44" s="256">
        <f>AUXILIAR!N225</f>
        <v>6.34</v>
      </c>
      <c r="I44" s="458"/>
    </row>
    <row r="45" spans="2:9" ht="20.100000000000001" customHeight="1">
      <c r="B45" s="322" t="s">
        <v>312</v>
      </c>
      <c r="D45" s="258" t="s">
        <v>143</v>
      </c>
      <c r="E45" s="258"/>
      <c r="F45" s="66" t="s">
        <v>6</v>
      </c>
      <c r="G45" s="256">
        <f>AUXILIAR!N1145</f>
        <v>0.22</v>
      </c>
      <c r="I45" s="458"/>
    </row>
    <row r="46" spans="2:9" ht="20.100000000000001" customHeight="1">
      <c r="B46" s="322" t="s">
        <v>313</v>
      </c>
      <c r="D46" s="258" t="s">
        <v>161</v>
      </c>
      <c r="E46" s="258"/>
      <c r="F46" s="66" t="s">
        <v>6</v>
      </c>
      <c r="G46" s="256">
        <f>AUXILIAR!N1186</f>
        <v>0.73</v>
      </c>
      <c r="I46" s="458"/>
    </row>
    <row r="47" spans="2:9" ht="20.100000000000001" customHeight="1">
      <c r="B47" s="322" t="s">
        <v>314</v>
      </c>
      <c r="D47" s="258" t="s">
        <v>408</v>
      </c>
      <c r="E47" s="258"/>
      <c r="F47" s="66" t="s">
        <v>6</v>
      </c>
      <c r="G47" s="256">
        <f>AUXILIAR!N266</f>
        <v>0.41</v>
      </c>
      <c r="I47" s="458"/>
    </row>
    <row r="48" spans="2:9" ht="20.100000000000001" customHeight="1">
      <c r="B48" s="322" t="s">
        <v>315</v>
      </c>
      <c r="D48" s="258" t="s">
        <v>323</v>
      </c>
      <c r="E48" s="258"/>
      <c r="F48" s="66" t="s">
        <v>5</v>
      </c>
      <c r="G48" s="256">
        <f>AUXILIAR!N1227</f>
        <v>4.99</v>
      </c>
      <c r="I48" s="458"/>
    </row>
    <row r="49" spans="2:9" ht="20.100000000000001" customHeight="1">
      <c r="B49" s="322" t="s">
        <v>316</v>
      </c>
      <c r="D49" s="258" t="s">
        <v>144</v>
      </c>
      <c r="E49" s="258"/>
      <c r="F49" s="66" t="s">
        <v>228</v>
      </c>
      <c r="G49" s="256">
        <f>AUXILIAR!N1271</f>
        <v>65.77427999999999</v>
      </c>
      <c r="I49" s="458"/>
    </row>
    <row r="50" spans="2:9" ht="20.100000000000001" customHeight="1">
      <c r="B50" s="322" t="s">
        <v>317</v>
      </c>
      <c r="D50" s="258" t="s">
        <v>178</v>
      </c>
      <c r="E50" s="258"/>
      <c r="F50" s="66" t="s">
        <v>5</v>
      </c>
      <c r="G50" s="256">
        <f>AUXILIAR!N307</f>
        <v>37.880000000000003</v>
      </c>
      <c r="I50" s="458"/>
    </row>
    <row r="51" spans="2:9" ht="20.100000000000001" customHeight="1">
      <c r="B51" s="322" t="s">
        <v>319</v>
      </c>
      <c r="D51" s="258" t="s">
        <v>239</v>
      </c>
      <c r="E51" s="258"/>
      <c r="F51" s="66" t="s">
        <v>5</v>
      </c>
      <c r="G51" s="256">
        <f>AUXILIAR!N347</f>
        <v>29.880000000000003</v>
      </c>
      <c r="I51" s="458"/>
    </row>
    <row r="52" spans="2:9" ht="20.100000000000001" customHeight="1">
      <c r="B52" s="322" t="s">
        <v>377</v>
      </c>
      <c r="D52" s="258" t="s">
        <v>371</v>
      </c>
      <c r="E52" s="258"/>
      <c r="F52" s="66" t="s">
        <v>6</v>
      </c>
      <c r="G52" s="256">
        <f>AUXILIAR!N399</f>
        <v>0.60227600000000003</v>
      </c>
      <c r="I52" s="458"/>
    </row>
    <row r="53" spans="2:9" ht="20.100000000000001" customHeight="1">
      <c r="B53" s="322" t="s">
        <v>378</v>
      </c>
      <c r="D53" s="258" t="s">
        <v>372</v>
      </c>
      <c r="E53" s="258"/>
      <c r="F53" s="66" t="s">
        <v>5</v>
      </c>
      <c r="G53" s="256">
        <f>AUXILIAR!N462</f>
        <v>443.58963969600006</v>
      </c>
      <c r="I53" s="458"/>
    </row>
    <row r="54" spans="2:9" ht="20.100000000000001" customHeight="1">
      <c r="B54" s="322" t="s">
        <v>403</v>
      </c>
      <c r="D54" s="258" t="s">
        <v>454</v>
      </c>
      <c r="E54" s="258"/>
      <c r="F54" s="66" t="s">
        <v>5</v>
      </c>
      <c r="G54" s="256">
        <f>AUXILIAR!N920</f>
        <v>22.26</v>
      </c>
      <c r="I54" s="458"/>
    </row>
    <row r="55" spans="2:9" ht="20.100000000000001" customHeight="1">
      <c r="B55" s="322" t="s">
        <v>409</v>
      </c>
      <c r="D55" s="258" t="s">
        <v>412</v>
      </c>
      <c r="E55" s="258"/>
      <c r="F55" s="66" t="s">
        <v>5</v>
      </c>
      <c r="G55" s="256">
        <f>AUXILIAR!N503</f>
        <v>10.77</v>
      </c>
      <c r="I55" s="458"/>
    </row>
    <row r="56" spans="2:9" ht="20.100000000000001" customHeight="1">
      <c r="B56" s="322" t="s">
        <v>410</v>
      </c>
      <c r="D56" s="258" t="s">
        <v>413</v>
      </c>
      <c r="E56" s="258"/>
      <c r="F56" s="66" t="s">
        <v>5</v>
      </c>
      <c r="G56" s="256">
        <f>AUXILIAR!N544</f>
        <v>3.38</v>
      </c>
      <c r="I56" s="458"/>
    </row>
    <row r="57" spans="2:9" ht="20.100000000000001" customHeight="1">
      <c r="B57" s="322" t="s">
        <v>411</v>
      </c>
      <c r="D57" s="258" t="s">
        <v>414</v>
      </c>
      <c r="E57" s="258"/>
      <c r="F57" s="66" t="s">
        <v>6</v>
      </c>
      <c r="G57" s="256">
        <f>AUXILIAR!N585</f>
        <v>0.64</v>
      </c>
      <c r="I57" s="458"/>
    </row>
    <row r="58" spans="2:9" ht="20.100000000000001" customHeight="1">
      <c r="B58" s="322" t="s">
        <v>425</v>
      </c>
      <c r="D58" s="258" t="s">
        <v>427</v>
      </c>
      <c r="E58" s="258"/>
      <c r="F58" s="66" t="s">
        <v>428</v>
      </c>
      <c r="G58" s="256">
        <f>AUXILIAR!N708</f>
        <v>33.56</v>
      </c>
      <c r="I58" s="458"/>
    </row>
    <row r="59" spans="2:9" ht="20.100000000000001" customHeight="1">
      <c r="B59" s="322" t="s">
        <v>426</v>
      </c>
      <c r="D59" s="258" t="s">
        <v>436</v>
      </c>
      <c r="E59" s="258"/>
      <c r="F59" s="66" t="s">
        <v>428</v>
      </c>
      <c r="G59" s="256">
        <f>AUXILIAR!N750</f>
        <v>142.94</v>
      </c>
      <c r="I59" s="458"/>
    </row>
    <row r="60" spans="2:9" ht="20.100000000000001" customHeight="1">
      <c r="B60" s="322" t="s">
        <v>432</v>
      </c>
      <c r="D60" s="258" t="s">
        <v>437</v>
      </c>
      <c r="E60" s="258"/>
      <c r="F60" s="66" t="s">
        <v>428</v>
      </c>
      <c r="G60" s="256">
        <f>AUXILIAR!N792</f>
        <v>342.93</v>
      </c>
      <c r="I60" s="458"/>
    </row>
    <row r="61" spans="2:9" ht="20.100000000000001" customHeight="1">
      <c r="B61" s="322" t="s">
        <v>446</v>
      </c>
      <c r="D61" s="258" t="s">
        <v>447</v>
      </c>
      <c r="E61" s="258"/>
      <c r="F61" s="66" t="s">
        <v>5</v>
      </c>
      <c r="G61" s="256">
        <f>AUXILIAR!N832</f>
        <v>52.57</v>
      </c>
      <c r="I61" s="458"/>
    </row>
    <row r="62" spans="2:9" ht="20.100000000000001" customHeight="1">
      <c r="B62" s="322" t="s">
        <v>448</v>
      </c>
      <c r="D62" s="258" t="s">
        <v>449</v>
      </c>
      <c r="E62" s="258"/>
      <c r="F62" s="66" t="s">
        <v>5</v>
      </c>
      <c r="G62" s="256">
        <f>AUXILIAR!N872</f>
        <v>52.57</v>
      </c>
      <c r="I62" s="458"/>
    </row>
    <row r="63" spans="2:9" ht="20.100000000000001" customHeight="1">
      <c r="B63" s="322" t="s">
        <v>450</v>
      </c>
      <c r="D63" s="258" t="s">
        <v>451</v>
      </c>
      <c r="E63" s="258"/>
      <c r="F63" s="66" t="s">
        <v>5</v>
      </c>
      <c r="G63" s="256">
        <f>AUXILIAR!N1011</f>
        <v>23.009999999999998</v>
      </c>
      <c r="I63" s="458"/>
    </row>
    <row r="64" spans="2:9" ht="20.100000000000001" customHeight="1">
      <c r="B64" s="322" t="s">
        <v>452</v>
      </c>
      <c r="D64" s="258" t="s">
        <v>453</v>
      </c>
      <c r="E64" s="258"/>
      <c r="F64" s="66" t="s">
        <v>5</v>
      </c>
      <c r="G64" s="256">
        <f>AUXILIAR!N971</f>
        <v>20.52</v>
      </c>
      <c r="I64" s="458"/>
    </row>
    <row r="65" spans="2:9" ht="20.100000000000001" customHeight="1">
      <c r="B65" s="322" t="s">
        <v>500</v>
      </c>
      <c r="D65" s="258" t="s">
        <v>501</v>
      </c>
      <c r="E65" s="258"/>
      <c r="F65" s="66" t="s">
        <v>5</v>
      </c>
      <c r="G65" s="256">
        <f>AUXILIAR!N1052</f>
        <v>115.68</v>
      </c>
      <c r="I65" s="458"/>
    </row>
    <row r="66" spans="2:9" ht="20.100000000000001" customHeight="1" thickBot="1">
      <c r="B66" s="322" t="s">
        <v>509</v>
      </c>
      <c r="C66" s="451"/>
      <c r="D66" s="258" t="s">
        <v>510</v>
      </c>
      <c r="E66" s="258"/>
      <c r="F66" s="66" t="s">
        <v>5</v>
      </c>
      <c r="G66" s="256">
        <f>AUXILIAR!N1094</f>
        <v>61.720000000000006</v>
      </c>
      <c r="I66" s="458"/>
    </row>
    <row r="67" spans="2:9" ht="20.100000000000001" customHeight="1">
      <c r="B67" s="255"/>
    </row>
    <row r="68" spans="2:9" ht="20.100000000000001" customHeight="1">
      <c r="B68" s="255"/>
    </row>
    <row r="69" spans="2:9" ht="20.100000000000001" customHeight="1">
      <c r="B69" s="255"/>
    </row>
    <row r="70" spans="2:9" ht="20.100000000000001" customHeight="1">
      <c r="B70" s="255"/>
    </row>
    <row r="71" spans="2:9" ht="20.100000000000001" customHeight="1">
      <c r="B71" s="255"/>
    </row>
    <row r="72" spans="2:9" ht="20.100000000000001" customHeight="1">
      <c r="B72" s="255"/>
    </row>
    <row r="73" spans="2:9" ht="20.100000000000001" customHeight="1">
      <c r="B73" s="255"/>
    </row>
    <row r="74" spans="2:9" ht="20.100000000000001" customHeight="1">
      <c r="B74" s="255"/>
    </row>
    <row r="75" spans="2:9" ht="20.100000000000001" customHeight="1">
      <c r="B75" s="255"/>
    </row>
    <row r="76" spans="2:9" ht="20.100000000000001" customHeight="1">
      <c r="B76" s="255"/>
    </row>
    <row r="77" spans="2:9" ht="20.100000000000001" customHeight="1">
      <c r="B77" s="255"/>
    </row>
    <row r="78" spans="2:9" ht="20.100000000000001" customHeight="1">
      <c r="B78" s="255"/>
    </row>
    <row r="79" spans="2:9" ht="20.100000000000001" customHeight="1">
      <c r="B79" s="255"/>
    </row>
    <row r="80" spans="2:9" ht="20.100000000000001" customHeight="1">
      <c r="B80" s="255"/>
    </row>
    <row r="81" spans="2:2" ht="20.100000000000001" customHeight="1">
      <c r="B81" s="255"/>
    </row>
  </sheetData>
  <sortState ref="B4:L37">
    <sortCondition ref="B4:B37"/>
  </sortState>
  <mergeCells count="2">
    <mergeCell ref="D2:G2"/>
    <mergeCell ref="D38:G38"/>
  </mergeCells>
  <phoneticPr fontId="0" type="noConversion"/>
  <hyperlinks>
    <hyperlink ref="B52" location="AUXILIAR!D351" display="50024"/>
    <hyperlink ref="B53" location="AUXILIAR!D403" display="50025"/>
    <hyperlink ref="B40" location="AUXILIAR!D2" display="50005"/>
    <hyperlink ref="B41" location="AUXILIAR!D43" display="50007"/>
    <hyperlink ref="B42" location="AUXILIAR!D85" display="50008"/>
    <hyperlink ref="B43" location="AUXILIAR!D147" display="50011"/>
    <hyperlink ref="B44" location="AUXILIAR!D188" display="50012"/>
    <hyperlink ref="B47" location="AUXILIAR!D229" display="50017"/>
    <hyperlink ref="B50" location="AUXILIAR!D270" display="50020"/>
    <hyperlink ref="B51" location="AUXILIAR!D311" display="50022"/>
    <hyperlink ref="B55" location="AUXILIAR!D466" display="50033"/>
    <hyperlink ref="B56" location="AUXILIAR!D507" display="50034"/>
    <hyperlink ref="B57" location="AUXILIAR!D548" display="50035"/>
    <hyperlink ref="B58" location="AUXILIAR!D671" display="50037"/>
    <hyperlink ref="B59" location="AUXILIAR!D712" display="50038"/>
    <hyperlink ref="B60" location="AUXILIAR!D754" display="50039"/>
    <hyperlink ref="B61" location="AUXILIAR!D796" display="50042"/>
    <hyperlink ref="B62" location="AUXILIAR!D836" display="50043"/>
    <hyperlink ref="B63" location="AUXILIAR!D976" display="50044"/>
    <hyperlink ref="B54" location="AUXILIAR!D876" display="50032"/>
    <hyperlink ref="B65" location="AUXILIAR!D1016" display="50059"/>
    <hyperlink ref="B45" location="AUXILIAR!D1097" display="50015"/>
    <hyperlink ref="B66" location="AUXILIAR!D1056" display="50062"/>
    <hyperlink ref="B64" location="AUXILIAR!D924" display="50045"/>
    <hyperlink ref="B46" location="AUXILIAR!D1149" display="50016"/>
    <hyperlink ref="B48" location="AUXILIAR!D1190" display="50018"/>
    <hyperlink ref="B49" location="AUXILIAR!D1231" display="50019"/>
  </hyperlinks>
  <printOptions horizontalCentered="1"/>
  <pageMargins left="0.39370078740157483" right="0.31496062992125984" top="0.47244094488188981" bottom="0.51181102362204722" header="0.27559055118110237" footer="0.51181102362204722"/>
  <pageSetup paperSize="9" scale="69" orientation="portrait" horizontalDpi="300" verticalDpi="300" r:id="rId1"/>
  <headerFooter alignWithMargins="0"/>
  <rowBreaks count="1" manualBreakCount="1">
    <brk id="37" min="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B2:L28"/>
  <sheetViews>
    <sheetView showGridLines="0" tabSelected="1" view="pageBreakPreview" zoomScale="80" zoomScaleNormal="60" workbookViewId="0">
      <selection activeCell="C65" activeCellId="1" sqref="C64 C65"/>
    </sheetView>
  </sheetViews>
  <sheetFormatPr defaultRowHeight="20.100000000000001" customHeight="1"/>
  <cols>
    <col min="1" max="1" width="9.140625" style="16"/>
    <col min="2" max="2" width="3.5703125" style="16" customWidth="1"/>
    <col min="3" max="3" width="13.5703125" style="16" customWidth="1"/>
    <col min="4" max="4" width="2.42578125" style="197" customWidth="1"/>
    <col min="5" max="5" width="88.28515625" style="16" customWidth="1"/>
    <col min="6" max="6" width="9.7109375" style="259" customWidth="1"/>
    <col min="7" max="7" width="13.85546875" style="259" customWidth="1"/>
    <col min="8" max="8" width="12.85546875" style="406" bestFit="1" customWidth="1"/>
    <col min="9" max="16384" width="9.140625" style="16"/>
  </cols>
  <sheetData>
    <row r="2" spans="2:12" ht="26.1" customHeight="1">
      <c r="B2" s="253"/>
      <c r="C2" s="250"/>
      <c r="E2" s="612" t="s">
        <v>107</v>
      </c>
      <c r="F2" s="612"/>
      <c r="G2" s="612"/>
      <c r="H2" s="459"/>
    </row>
    <row r="3" spans="2:12" ht="20.100000000000001" customHeight="1">
      <c r="C3" s="50" t="s">
        <v>243</v>
      </c>
      <c r="D3" s="197" t="s">
        <v>627</v>
      </c>
      <c r="E3" s="42" t="s">
        <v>0</v>
      </c>
      <c r="F3" s="50" t="s">
        <v>103</v>
      </c>
      <c r="G3" s="456" t="s">
        <v>80</v>
      </c>
      <c r="H3" s="460" t="s">
        <v>551</v>
      </c>
    </row>
    <row r="4" spans="2:12" ht="20.100000000000001" customHeight="1">
      <c r="C4" s="254" t="s">
        <v>325</v>
      </c>
      <c r="E4" s="258" t="s">
        <v>125</v>
      </c>
      <c r="F4" s="39" t="s">
        <v>506</v>
      </c>
      <c r="G4" s="55">
        <v>0.33</v>
      </c>
      <c r="H4" s="39">
        <v>65.06</v>
      </c>
      <c r="K4" s="16">
        <v>0.28000000000000003</v>
      </c>
      <c r="L4" s="16">
        <v>0.33</v>
      </c>
    </row>
    <row r="5" spans="2:12" ht="20.100000000000001" customHeight="1">
      <c r="C5" s="254" t="s">
        <v>326</v>
      </c>
      <c r="E5" s="258" t="s">
        <v>571</v>
      </c>
      <c r="F5" s="39" t="s">
        <v>506</v>
      </c>
      <c r="G5" s="55">
        <v>0.33</v>
      </c>
      <c r="H5" s="39">
        <v>65.06</v>
      </c>
      <c r="L5" s="16">
        <f>L4/K4</f>
        <v>1.1785714285714286</v>
      </c>
    </row>
    <row r="6" spans="2:12" ht="20.100000000000001" customHeight="1">
      <c r="C6" s="254" t="s">
        <v>327</v>
      </c>
      <c r="E6" s="258" t="s">
        <v>124</v>
      </c>
      <c r="F6" s="39" t="s">
        <v>506</v>
      </c>
      <c r="G6" s="55">
        <v>0.33</v>
      </c>
      <c r="H6" s="39">
        <v>45.53</v>
      </c>
    </row>
    <row r="7" spans="2:12" ht="20.100000000000001" customHeight="1">
      <c r="C7" s="254" t="s">
        <v>328</v>
      </c>
      <c r="E7" s="258" t="s">
        <v>570</v>
      </c>
      <c r="F7" s="39" t="s">
        <v>506</v>
      </c>
      <c r="G7" s="55">
        <v>0.33</v>
      </c>
      <c r="H7" s="39">
        <v>1</v>
      </c>
    </row>
    <row r="8" spans="2:12" ht="20.100000000000001" customHeight="1">
      <c r="C8" s="254" t="s">
        <v>329</v>
      </c>
      <c r="E8" s="258" t="s">
        <v>172</v>
      </c>
      <c r="F8" s="39" t="s">
        <v>506</v>
      </c>
      <c r="G8" s="55">
        <v>0.33</v>
      </c>
      <c r="H8" s="39">
        <v>20</v>
      </c>
    </row>
    <row r="9" spans="2:12" ht="20.100000000000001" customHeight="1">
      <c r="C9" s="254" t="s">
        <v>330</v>
      </c>
      <c r="E9" s="258" t="s">
        <v>508</v>
      </c>
      <c r="F9" s="39" t="s">
        <v>506</v>
      </c>
      <c r="G9" s="55">
        <v>0.33</v>
      </c>
      <c r="H9" s="39">
        <v>25</v>
      </c>
    </row>
    <row r="10" spans="2:12" ht="20.100000000000001" customHeight="1">
      <c r="C10" s="254" t="s">
        <v>331</v>
      </c>
      <c r="E10" s="258" t="s">
        <v>128</v>
      </c>
      <c r="F10" s="39" t="s">
        <v>506</v>
      </c>
      <c r="G10" s="55">
        <v>0.37</v>
      </c>
      <c r="H10" s="39">
        <v>25</v>
      </c>
    </row>
    <row r="11" spans="2:12" ht="20.100000000000001" customHeight="1">
      <c r="C11" s="254" t="s">
        <v>332</v>
      </c>
      <c r="E11" s="258" t="s">
        <v>241</v>
      </c>
      <c r="F11" s="39" t="s">
        <v>506</v>
      </c>
      <c r="G11" s="55">
        <v>0.24</v>
      </c>
      <c r="H11" s="39">
        <v>50</v>
      </c>
      <c r="J11" s="132">
        <v>0.2</v>
      </c>
      <c r="K11" s="132">
        <f>J11*$L$5</f>
        <v>0.23571428571428574</v>
      </c>
    </row>
    <row r="12" spans="2:12" ht="20.100000000000001" customHeight="1">
      <c r="C12" s="254" t="s">
        <v>333</v>
      </c>
      <c r="E12" s="258" t="s">
        <v>162</v>
      </c>
      <c r="F12" s="39" t="s">
        <v>506</v>
      </c>
      <c r="G12" s="55">
        <v>0.44</v>
      </c>
      <c r="H12" s="39">
        <v>15</v>
      </c>
      <c r="J12" s="132">
        <v>0.37</v>
      </c>
      <c r="K12" s="132">
        <f t="shared" ref="K12:K13" si="0">J12*$L$5</f>
        <v>0.43607142857142855</v>
      </c>
    </row>
    <row r="13" spans="2:12" ht="20.100000000000001" customHeight="1">
      <c r="C13" s="254" t="s">
        <v>334</v>
      </c>
      <c r="E13" s="258" t="s">
        <v>126</v>
      </c>
      <c r="F13" s="39" t="s">
        <v>506</v>
      </c>
      <c r="G13" s="55">
        <v>0.24</v>
      </c>
      <c r="H13" s="39">
        <v>50</v>
      </c>
      <c r="J13" s="132">
        <v>0.2</v>
      </c>
      <c r="K13" s="132">
        <f t="shared" si="0"/>
        <v>0.23571428571428574</v>
      </c>
    </row>
    <row r="14" spans="2:12" ht="20.100000000000001" customHeight="1">
      <c r="C14" s="254" t="s">
        <v>335</v>
      </c>
      <c r="E14" s="258" t="s">
        <v>146</v>
      </c>
      <c r="F14" s="39" t="s">
        <v>506</v>
      </c>
      <c r="G14" s="55">
        <v>0.33</v>
      </c>
      <c r="H14" s="39">
        <v>1</v>
      </c>
      <c r="J14" s="132"/>
      <c r="K14" s="132"/>
    </row>
    <row r="15" spans="2:12" ht="20.100000000000001" customHeight="1">
      <c r="C15" s="254" t="s">
        <v>336</v>
      </c>
      <c r="E15" s="258" t="s">
        <v>162</v>
      </c>
      <c r="F15" s="39" t="s">
        <v>506</v>
      </c>
      <c r="G15" s="55">
        <v>0.33</v>
      </c>
      <c r="H15" s="39">
        <v>15</v>
      </c>
      <c r="J15" s="132"/>
      <c r="K15" s="132"/>
    </row>
    <row r="16" spans="2:12" ht="20.100000000000001" customHeight="1">
      <c r="C16" s="254" t="s">
        <v>337</v>
      </c>
      <c r="E16" s="258" t="s">
        <v>145</v>
      </c>
      <c r="F16" s="39" t="s">
        <v>506</v>
      </c>
      <c r="G16" s="55">
        <v>0.33</v>
      </c>
      <c r="H16" s="39">
        <v>20</v>
      </c>
      <c r="J16" s="132"/>
      <c r="K16" s="132"/>
    </row>
    <row r="17" spans="3:11" ht="20.100000000000001" customHeight="1">
      <c r="C17" s="254" t="s">
        <v>338</v>
      </c>
      <c r="E17" s="258" t="s">
        <v>144</v>
      </c>
      <c r="F17" s="39" t="s">
        <v>506</v>
      </c>
      <c r="G17" s="55">
        <v>0.44</v>
      </c>
      <c r="H17" s="39">
        <v>45.53</v>
      </c>
      <c r="J17" s="132">
        <v>0.37</v>
      </c>
      <c r="K17" s="132">
        <f t="shared" ref="K17" si="1">J17*$L$5</f>
        <v>0.43607142857142855</v>
      </c>
    </row>
    <row r="18" spans="3:11" ht="20.100000000000001" customHeight="1">
      <c r="C18" s="254" t="s">
        <v>339</v>
      </c>
      <c r="E18" s="258" t="s">
        <v>178</v>
      </c>
      <c r="F18" s="39" t="s">
        <v>506</v>
      </c>
      <c r="G18" s="55">
        <v>0.33</v>
      </c>
      <c r="H18" s="39">
        <v>45.53</v>
      </c>
      <c r="J18" s="132"/>
      <c r="K18" s="132"/>
    </row>
    <row r="19" spans="3:11" ht="20.100000000000001" customHeight="1">
      <c r="C19" s="254" t="s">
        <v>340</v>
      </c>
      <c r="E19" s="258" t="s">
        <v>527</v>
      </c>
      <c r="F19" s="39" t="s">
        <v>506</v>
      </c>
      <c r="G19" s="55">
        <v>0.25</v>
      </c>
      <c r="H19" s="39"/>
      <c r="J19" s="132">
        <v>0.21</v>
      </c>
      <c r="K19" s="132">
        <f t="shared" ref="K19" si="2">J19*$L$5</f>
        <v>0.2475</v>
      </c>
    </row>
    <row r="20" spans="3:11" ht="20.100000000000001" customHeight="1">
      <c r="C20" s="254" t="s">
        <v>341</v>
      </c>
      <c r="E20" s="258" t="s">
        <v>528</v>
      </c>
      <c r="F20" s="39" t="s">
        <v>506</v>
      </c>
      <c r="G20" s="55">
        <v>0.33</v>
      </c>
      <c r="H20" s="39">
        <v>20</v>
      </c>
      <c r="J20" s="132"/>
      <c r="K20" s="132"/>
    </row>
    <row r="21" spans="3:11" ht="20.100000000000001" customHeight="1">
      <c r="C21" s="254" t="s">
        <v>342</v>
      </c>
      <c r="E21" s="258" t="s">
        <v>529</v>
      </c>
      <c r="F21" s="39" t="s">
        <v>506</v>
      </c>
      <c r="G21" s="55">
        <v>0.33</v>
      </c>
      <c r="H21" s="39">
        <v>20</v>
      </c>
      <c r="J21" s="132"/>
      <c r="K21" s="132"/>
    </row>
    <row r="22" spans="3:11" ht="20.100000000000001" customHeight="1">
      <c r="C22" s="322" t="s">
        <v>343</v>
      </c>
      <c r="E22" s="258" t="s">
        <v>544</v>
      </c>
      <c r="F22" s="39" t="s">
        <v>506</v>
      </c>
      <c r="G22" s="55">
        <f>AUXILIAR!N626</f>
        <v>0.54</v>
      </c>
      <c r="H22" s="39">
        <v>45.53</v>
      </c>
      <c r="J22" s="132">
        <v>0.54</v>
      </c>
      <c r="K22" s="132">
        <f t="shared" ref="K22" si="3">J22*$L$5</f>
        <v>0.63642857142857145</v>
      </c>
    </row>
    <row r="23" spans="3:11" ht="20.100000000000001" customHeight="1">
      <c r="C23" s="322" t="s">
        <v>344</v>
      </c>
      <c r="E23" s="258" t="s">
        <v>545</v>
      </c>
      <c r="F23" s="39" t="s">
        <v>506</v>
      </c>
      <c r="G23" s="55">
        <f>AUXILIAR!N667</f>
        <v>0.69</v>
      </c>
      <c r="H23" s="39">
        <v>5</v>
      </c>
      <c r="J23" s="132"/>
      <c r="K23" s="132"/>
    </row>
    <row r="24" spans="3:11" ht="20.100000000000001" customHeight="1">
      <c r="C24" s="254" t="s">
        <v>345</v>
      </c>
      <c r="E24" s="258" t="s">
        <v>568</v>
      </c>
      <c r="F24" s="39" t="s">
        <v>506</v>
      </c>
      <c r="G24" s="55">
        <v>0.35</v>
      </c>
      <c r="H24" s="39">
        <v>45.53</v>
      </c>
      <c r="J24" s="132">
        <v>0.3</v>
      </c>
      <c r="K24" s="132">
        <f t="shared" ref="K24:K26" si="4">J24*$L$5</f>
        <v>0.35357142857142859</v>
      </c>
    </row>
    <row r="25" spans="3:11" ht="20.100000000000001" customHeight="1">
      <c r="C25" s="254" t="s">
        <v>433</v>
      </c>
      <c r="E25" s="258" t="s">
        <v>434</v>
      </c>
      <c r="F25" s="39" t="s">
        <v>435</v>
      </c>
      <c r="G25" s="55">
        <v>0.47</v>
      </c>
      <c r="H25" s="39">
        <v>25</v>
      </c>
      <c r="J25" s="132">
        <v>0.4</v>
      </c>
      <c r="K25" s="132">
        <f t="shared" si="4"/>
        <v>0.47142857142857147</v>
      </c>
    </row>
    <row r="26" spans="3:11" ht="20.100000000000001" customHeight="1">
      <c r="C26" s="254" t="s">
        <v>493</v>
      </c>
      <c r="E26" s="258" t="s">
        <v>569</v>
      </c>
      <c r="F26" s="39" t="s">
        <v>506</v>
      </c>
      <c r="G26" s="55">
        <v>0.35</v>
      </c>
      <c r="H26" s="39">
        <v>45.53</v>
      </c>
      <c r="J26" s="132">
        <v>0.3</v>
      </c>
      <c r="K26" s="132">
        <f t="shared" si="4"/>
        <v>0.35357142857142859</v>
      </c>
    </row>
    <row r="27" spans="3:11" ht="20.100000000000001" customHeight="1">
      <c r="C27" s="254" t="s">
        <v>496</v>
      </c>
      <c r="E27" s="258" t="s">
        <v>497</v>
      </c>
      <c r="F27" s="39" t="s">
        <v>423</v>
      </c>
      <c r="G27" s="55">
        <v>0.33</v>
      </c>
      <c r="H27" s="39">
        <v>10</v>
      </c>
    </row>
    <row r="28" spans="3:11" ht="20.100000000000001" customHeight="1">
      <c r="C28" s="254" t="s">
        <v>542</v>
      </c>
      <c r="E28" s="258" t="s">
        <v>543</v>
      </c>
      <c r="F28" s="39" t="s">
        <v>423</v>
      </c>
      <c r="G28" s="55">
        <v>0.33</v>
      </c>
      <c r="H28" s="39">
        <v>25</v>
      </c>
    </row>
  </sheetData>
  <mergeCells count="1">
    <mergeCell ref="E2:G2"/>
  </mergeCells>
  <phoneticPr fontId="0" type="noConversion"/>
  <hyperlinks>
    <hyperlink ref="C22" location="AUXILIAR!D589" display="60019"/>
    <hyperlink ref="C23" location="AUXILIAR!D630" display="60020"/>
  </hyperlinks>
  <printOptions horizontalCentered="1"/>
  <pageMargins left="0.39370078740157483" right="0.27559055118110237" top="0.47244094488188981" bottom="0.51181102362204722" header="0.27559055118110237" footer="0.51181102362204722"/>
  <pageSetup paperSize="9" scale="6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B2:H22"/>
  <sheetViews>
    <sheetView showGridLines="0" tabSelected="1" view="pageBreakPreview" zoomScale="80" zoomScaleNormal="100" zoomScaleSheetLayoutView="80" workbookViewId="0">
      <selection activeCell="C65" activeCellId="1" sqref="C64 C65"/>
    </sheetView>
  </sheetViews>
  <sheetFormatPr defaultRowHeight="20.100000000000001" customHeight="1"/>
  <cols>
    <col min="1" max="1" width="3.42578125" style="16" customWidth="1"/>
    <col min="2" max="2" width="13.85546875" style="16" customWidth="1"/>
    <col min="3" max="3" width="3.140625" style="197" customWidth="1"/>
    <col min="4" max="4" width="66.140625" style="16" customWidth="1"/>
    <col min="5" max="5" width="14.85546875" style="16" customWidth="1"/>
    <col min="6" max="6" width="15.42578125" style="259" customWidth="1"/>
    <col min="7" max="7" width="3.5703125" style="259" customWidth="1"/>
    <col min="8" max="8" width="19.85546875" style="16" bestFit="1" customWidth="1"/>
    <col min="9" max="16384" width="9.140625" style="16"/>
  </cols>
  <sheetData>
    <row r="2" spans="2:8" ht="26.1" customHeight="1">
      <c r="B2" s="46"/>
      <c r="C2" s="484"/>
      <c r="D2" s="613" t="s">
        <v>131</v>
      </c>
      <c r="E2" s="613"/>
      <c r="F2" s="613"/>
      <c r="G2" s="486"/>
      <c r="H2" s="46"/>
    </row>
    <row r="3" spans="2:8" ht="20.100000000000001" customHeight="1">
      <c r="B3" s="50" t="s">
        <v>243</v>
      </c>
      <c r="C3" s="484"/>
      <c r="D3" s="42" t="s">
        <v>627</v>
      </c>
      <c r="E3" s="50" t="s">
        <v>103</v>
      </c>
      <c r="F3" s="453" t="s">
        <v>80</v>
      </c>
      <c r="G3" s="452"/>
      <c r="H3" s="488" t="s">
        <v>626</v>
      </c>
    </row>
    <row r="4" spans="2:8" ht="20.100000000000001" customHeight="1">
      <c r="B4" s="254" t="s">
        <v>357</v>
      </c>
      <c r="C4" s="484"/>
      <c r="D4" s="258" t="s">
        <v>346</v>
      </c>
      <c r="E4" s="66" t="s">
        <v>228</v>
      </c>
      <c r="F4" s="487">
        <v>1132</v>
      </c>
      <c r="G4" s="490"/>
      <c r="H4" s="489" t="s">
        <v>624</v>
      </c>
    </row>
    <row r="5" spans="2:8" ht="20.100000000000001" customHeight="1">
      <c r="B5" s="254" t="s">
        <v>358</v>
      </c>
      <c r="C5" s="484"/>
      <c r="D5" s="258" t="s">
        <v>347</v>
      </c>
      <c r="E5" s="66" t="s">
        <v>228</v>
      </c>
      <c r="F5" s="487">
        <v>1469</v>
      </c>
      <c r="G5" s="490"/>
      <c r="H5" s="489" t="s">
        <v>617</v>
      </c>
    </row>
    <row r="6" spans="2:8" ht="20.100000000000001" customHeight="1">
      <c r="B6" s="254" t="s">
        <v>359</v>
      </c>
      <c r="C6" s="484"/>
      <c r="D6" s="258" t="s">
        <v>348</v>
      </c>
      <c r="E6" s="66" t="s">
        <v>228</v>
      </c>
      <c r="F6" s="487">
        <v>1853</v>
      </c>
      <c r="G6" s="490"/>
      <c r="H6" s="489" t="s">
        <v>624</v>
      </c>
    </row>
    <row r="7" spans="2:8" ht="20.100000000000001" customHeight="1">
      <c r="B7" s="254" t="s">
        <v>360</v>
      </c>
      <c r="C7" s="484"/>
      <c r="D7" s="258" t="s">
        <v>349</v>
      </c>
      <c r="E7" s="66" t="s">
        <v>228</v>
      </c>
      <c r="F7" s="487">
        <v>2050</v>
      </c>
      <c r="G7" s="490"/>
      <c r="H7" s="489" t="s">
        <v>624</v>
      </c>
    </row>
    <row r="8" spans="2:8" ht="20.100000000000001" customHeight="1">
      <c r="B8" s="254" t="s">
        <v>361</v>
      </c>
      <c r="C8" s="484"/>
      <c r="D8" s="258" t="s">
        <v>350</v>
      </c>
      <c r="E8" s="66" t="s">
        <v>228</v>
      </c>
      <c r="F8" s="487">
        <v>905</v>
      </c>
      <c r="G8" s="490"/>
      <c r="H8" s="489" t="s">
        <v>624</v>
      </c>
    </row>
    <row r="9" spans="2:8" ht="20.100000000000001" customHeight="1">
      <c r="B9" s="254" t="s">
        <v>362</v>
      </c>
      <c r="C9" s="484"/>
      <c r="D9" s="258" t="s">
        <v>351</v>
      </c>
      <c r="E9" s="66" t="s">
        <v>228</v>
      </c>
      <c r="F9" s="487">
        <v>990</v>
      </c>
      <c r="G9" s="490"/>
      <c r="H9" s="489" t="s">
        <v>624</v>
      </c>
    </row>
    <row r="10" spans="2:8" ht="20.100000000000001" customHeight="1">
      <c r="B10" s="254" t="s">
        <v>363</v>
      </c>
      <c r="C10" s="484"/>
      <c r="D10" s="258" t="s">
        <v>352</v>
      </c>
      <c r="E10" s="66" t="s">
        <v>228</v>
      </c>
      <c r="F10" s="487">
        <v>230.69</v>
      </c>
      <c r="G10" s="490"/>
      <c r="H10" s="489" t="s">
        <v>617</v>
      </c>
    </row>
    <row r="11" spans="2:8" ht="20.100000000000001" customHeight="1">
      <c r="B11" s="254" t="s">
        <v>364</v>
      </c>
      <c r="C11" s="484"/>
      <c r="D11" s="258" t="s">
        <v>353</v>
      </c>
      <c r="E11" s="66" t="s">
        <v>228</v>
      </c>
      <c r="F11" s="487">
        <v>230.69</v>
      </c>
      <c r="G11" s="490"/>
      <c r="H11" s="489" t="s">
        <v>617</v>
      </c>
    </row>
    <row r="12" spans="2:8" ht="20.100000000000001" customHeight="1">
      <c r="B12" s="254" t="s">
        <v>365</v>
      </c>
      <c r="C12" s="484"/>
      <c r="D12" s="258" t="s">
        <v>354</v>
      </c>
      <c r="E12" s="66" t="s">
        <v>228</v>
      </c>
      <c r="F12" s="487">
        <v>230.69</v>
      </c>
      <c r="G12" s="490"/>
      <c r="H12" s="489" t="s">
        <v>617</v>
      </c>
    </row>
    <row r="13" spans="2:8" ht="20.100000000000001" customHeight="1">
      <c r="B13" s="254" t="s">
        <v>366</v>
      </c>
      <c r="C13" s="484"/>
      <c r="D13" s="258" t="s">
        <v>355</v>
      </c>
      <c r="E13" s="66" t="s">
        <v>228</v>
      </c>
      <c r="F13" s="487">
        <v>230.69</v>
      </c>
      <c r="G13" s="490"/>
      <c r="H13" s="489" t="s">
        <v>617</v>
      </c>
    </row>
    <row r="14" spans="2:8" ht="20.100000000000001" customHeight="1">
      <c r="B14" s="254" t="s">
        <v>367</v>
      </c>
      <c r="C14" s="484"/>
      <c r="D14" s="258" t="s">
        <v>356</v>
      </c>
      <c r="E14" s="66" t="s">
        <v>228</v>
      </c>
      <c r="F14" s="487">
        <v>230.69</v>
      </c>
      <c r="G14" s="490"/>
      <c r="H14" s="489" t="s">
        <v>617</v>
      </c>
    </row>
    <row r="15" spans="2:8" ht="20.100000000000001" customHeight="1">
      <c r="B15" s="254" t="s">
        <v>368</v>
      </c>
      <c r="C15" s="484"/>
      <c r="D15" s="258" t="s">
        <v>369</v>
      </c>
      <c r="E15" s="66" t="s">
        <v>228</v>
      </c>
      <c r="F15" s="487">
        <v>230.69</v>
      </c>
      <c r="G15" s="490"/>
      <c r="H15" s="489" t="s">
        <v>617</v>
      </c>
    </row>
    <row r="16" spans="2:8" ht="20.100000000000001" customHeight="1">
      <c r="B16" s="254" t="s">
        <v>523</v>
      </c>
      <c r="C16" s="484"/>
      <c r="D16" s="258" t="s">
        <v>521</v>
      </c>
      <c r="E16" s="66" t="s">
        <v>228</v>
      </c>
      <c r="F16" s="487">
        <f>1860*1.02447</f>
        <v>1905.5142000000001</v>
      </c>
      <c r="G16" s="490"/>
      <c r="H16" s="489" t="s">
        <v>617</v>
      </c>
    </row>
    <row r="17" spans="2:8" ht="20.100000000000001" customHeight="1">
      <c r="B17" s="254" t="s">
        <v>524</v>
      </c>
      <c r="C17" s="484"/>
      <c r="D17" s="258" t="s">
        <v>525</v>
      </c>
      <c r="E17" s="66" t="s">
        <v>228</v>
      </c>
      <c r="F17" s="487">
        <v>230.69</v>
      </c>
      <c r="G17" s="490"/>
      <c r="H17" s="489" t="s">
        <v>617</v>
      </c>
    </row>
    <row r="18" spans="2:8" ht="20.100000000000001" customHeight="1">
      <c r="B18" s="254" t="s">
        <v>530</v>
      </c>
      <c r="C18" s="484"/>
      <c r="D18" s="258" t="s">
        <v>532</v>
      </c>
      <c r="E18" s="66" t="s">
        <v>228</v>
      </c>
      <c r="F18" s="487">
        <v>1900</v>
      </c>
      <c r="G18" s="490"/>
      <c r="H18" s="489" t="s">
        <v>624</v>
      </c>
    </row>
    <row r="19" spans="2:8" ht="20.100000000000001" customHeight="1">
      <c r="B19" s="254" t="s">
        <v>531</v>
      </c>
      <c r="C19" s="484"/>
      <c r="D19" s="258" t="s">
        <v>533</v>
      </c>
      <c r="E19" s="66" t="s">
        <v>228</v>
      </c>
      <c r="F19" s="487">
        <v>230.69</v>
      </c>
      <c r="G19" s="215"/>
      <c r="H19" s="489" t="s">
        <v>617</v>
      </c>
    </row>
    <row r="20" spans="2:8" ht="20.100000000000001" customHeight="1">
      <c r="B20" s="255"/>
      <c r="C20" s="484"/>
      <c r="D20" s="77"/>
      <c r="E20" s="485"/>
      <c r="F20" s="217"/>
      <c r="G20" s="217"/>
      <c r="H20" s="46"/>
    </row>
    <row r="22" spans="2:8" ht="20.100000000000001" customHeight="1">
      <c r="D22" s="16" t="s">
        <v>625</v>
      </c>
    </row>
  </sheetData>
  <mergeCells count="1">
    <mergeCell ref="D2:F2"/>
  </mergeCells>
  <phoneticPr fontId="0" type="noConversion"/>
  <printOptions horizontalCentered="1"/>
  <pageMargins left="0.39370078740157483" right="0.31496062992125984" top="0.47244094488188981" bottom="0.51181102362204722" header="0.27559055118110237" footer="0.51181102362204722"/>
  <pageSetup paperSize="9" scale="6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26</vt:i4>
      </vt:variant>
    </vt:vector>
  </HeadingPairs>
  <TitlesOfParts>
    <vt:vector size="34" baseType="lpstr">
      <vt:lpstr>RESUMO COMPOSICOES</vt:lpstr>
      <vt:lpstr>Composições Ruppel</vt:lpstr>
      <vt:lpstr>AUXILIAR</vt:lpstr>
      <vt:lpstr>EQUIP</vt:lpstr>
      <vt:lpstr>M.O.</vt:lpstr>
      <vt:lpstr>MAT</vt:lpstr>
      <vt:lpstr>TRANS</vt:lpstr>
      <vt:lpstr>MAT_BET</vt:lpstr>
      <vt:lpstr>_60001</vt:lpstr>
      <vt:lpstr>AUXILIAR!Area_de_impressao</vt:lpstr>
      <vt:lpstr>'Composições Ruppel'!Area_de_impressao</vt:lpstr>
      <vt:lpstr>EQUIP!Area_de_impressao</vt:lpstr>
      <vt:lpstr>M.O.!Area_de_impressao</vt:lpstr>
      <vt:lpstr>MAT!Area_de_impressao</vt:lpstr>
      <vt:lpstr>MAT_BET!Area_de_impressao</vt:lpstr>
      <vt:lpstr>'RESUMO COMPOSICOES'!Area_de_impressao</vt:lpstr>
      <vt:lpstr>TRANS!Area_de_impressao</vt:lpstr>
      <vt:lpstr>AUXILIAR!Composição</vt:lpstr>
      <vt:lpstr>MAT!Composição</vt:lpstr>
      <vt:lpstr>MAT_BET!Composição</vt:lpstr>
      <vt:lpstr>TRANS!Composição</vt:lpstr>
      <vt:lpstr>Composição</vt:lpstr>
      <vt:lpstr>DATA</vt:lpstr>
      <vt:lpstr>DI</vt:lpstr>
      <vt:lpstr>EQUIP</vt:lpstr>
      <vt:lpstr>MAT</vt:lpstr>
      <vt:lpstr>MAT_BET</vt:lpstr>
      <vt:lpstr>MO</vt:lpstr>
      <vt:lpstr>Resumo_Composições</vt:lpstr>
      <vt:lpstr>'Composições Ruppel'!Titulos_de_impressao</vt:lpstr>
      <vt:lpstr>EQUIP!Titulos_de_impressao</vt:lpstr>
      <vt:lpstr>MAT_BET!Titulos_de_impressao</vt:lpstr>
      <vt:lpstr>TRANS!Titulos_de_impressao</vt:lpstr>
      <vt:lpstr>TRANS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user01</cp:lastModifiedBy>
  <cp:lastPrinted>2013-07-05T13:39:26Z</cp:lastPrinted>
  <dcterms:created xsi:type="dcterms:W3CDTF">2007-07-03T11:57:13Z</dcterms:created>
  <dcterms:modified xsi:type="dcterms:W3CDTF">2013-07-05T13:47:41Z</dcterms:modified>
</cp:coreProperties>
</file>